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ri.cihar\OneDrive - MARO s.r.o\Documents\NaWeb\"/>
    </mc:Choice>
  </mc:AlternateContent>
  <xr:revisionPtr revIDLastSave="0" documentId="13_ncr:40009_{B8CF4100-4795-4C18-9F6E-2EFAEF1C94D3}" xr6:coauthVersionLast="46" xr6:coauthVersionMax="46" xr10:uidLastSave="{00000000-0000-0000-0000-000000000000}"/>
  <bookViews>
    <workbookView xWindow="-108" yWindow="-108" windowWidth="23256" windowHeight="12576" tabRatio="891" firstSheet="3" activeTab="12"/>
  </bookViews>
  <sheets>
    <sheet name="Obsah" sheetId="16" r:id="rId1"/>
    <sheet name="Svyhledat(1)" sheetId="35" r:id="rId2"/>
    <sheet name="Svyhledat_přibližně" sheetId="17" r:id="rId3"/>
    <sheet name="Svyhledat(2)" sheetId="11" r:id="rId4"/>
    <sheet name="Svyhledat(3)" sheetId="27" r:id="rId5"/>
    <sheet name="Pozvyhledat" sheetId="22" r:id="rId6"/>
    <sheet name="Index" sheetId="23" r:id="rId7"/>
    <sheet name="IndexPozvyhledat" sheetId="37" r:id="rId8"/>
    <sheet name="Tarif_Svyhledat" sheetId="6" r:id="rId9"/>
    <sheet name="Tarif_IndexPozvyhledat" sheetId="13" r:id="rId10"/>
    <sheet name="Tarif_SVYH_POZVYH" sheetId="10" r:id="rId11"/>
    <sheet name="Tarif_IndexPozvyhledat(2)" sheetId="12" r:id="rId12"/>
    <sheet name="TarifVyhledání" sheetId="36" r:id="rId13"/>
    <sheet name="INDEX_POZ_VíceSloupců" sheetId="20" r:id="rId14"/>
    <sheet name="Index_VíceSloupců_Matice" sheetId="14" r:id="rId15"/>
    <sheet name="TransformaceSloupcu" sheetId="15" r:id="rId16"/>
    <sheet name="SVYHLEDAT_komplexni_reseni" sheetId="18" r:id="rId17"/>
    <sheet name="SVYHLEDAT_TURBO" sheetId="34" r:id="rId18"/>
    <sheet name="POZVYHLEDAT_NeSoulad" sheetId="24" r:id="rId19"/>
    <sheet name="INDEX_RADEK" sheetId="26" r:id="rId20"/>
    <sheet name="SVYHLEDAT_POZVYHLEDAT_Oblast" sheetId="28" r:id="rId21"/>
    <sheet name="INDEX_POZVYHLEDAT_MAX" sheetId="25" r:id="rId22"/>
    <sheet name="INDEX_POZVYHLEDAT_MIN" sheetId="29" r:id="rId23"/>
    <sheet name="KŘÍŽOVÝ_VÝBĚR_INTERVAL" sheetId="33" r:id="rId24"/>
    <sheet name="SVYHLEDAT_NEPRIMYODKAZ_Zeme" sheetId="38" r:id="rId25"/>
    <sheet name="INDEX_POZVYHLEDAT_Zeme" sheetId="39" r:id="rId26"/>
    <sheet name="Répartition" sheetId="31" state="hidden" r:id="rId27"/>
  </sheets>
  <definedNames>
    <definedName name="_xlnm._FilterDatabase" localSheetId="18" hidden="1">POZVYHLEDAT_NeSoulad!$C$1:$D$9</definedName>
    <definedName name="Articles" localSheetId="16">SVYHLEDAT_komplexni_reseni!$H$3:$J$12</definedName>
    <definedName name="BASE" localSheetId="13">INDEX_POZ_VíceSloupců!$H$9:$N$28</definedName>
    <definedName name="base" localSheetId="14">Index_VíceSloupců_Matice!$H$9:$M$28</definedName>
    <definedName name="CA">SVYHLEDAT_POZVYHLEDAT_Oblast!$F$2:$J$11</definedName>
    <definedName name="CENA">IndexPozvyhledat!$C$22:$M$30</definedName>
    <definedName name="CodePrestation" localSheetId="11">'Tarif_IndexPozvyhledat(2)'!$I$8:$L$8</definedName>
    <definedName name="DATA1">'Tarif_IndexPozvyhledat(2)'!$I$9:$L$12</definedName>
    <definedName name="DELKA">IndexPozvyhledat!$C$21:$M$21</definedName>
    <definedName name="depart2" localSheetId="12">TarifVyhledání!$M$8:$M$13</definedName>
    <definedName name="_xlnm.Extract" localSheetId="18">POZVYHLEDAT_NeSoulad!$J$6</definedName>
    <definedName name="JMENO">TransformaceSloupcu!$A$2:$A$8</definedName>
    <definedName name="jmeno2">Index_VíceSloupců_Matice!$I$9:$I$28</definedName>
    <definedName name="kategorie" localSheetId="12">TarifVyhledání!$A$8:$A$13</definedName>
    <definedName name="KOD_OBLAST">Tarif_SVYH_POZVYH!$I$8:$L$8</definedName>
    <definedName name="KOD_OBLAST2">'Tarif_IndexPozvyhledat(2)'!$I$8:$L$8</definedName>
    <definedName name="KOD_TARIF">Tarif_SVYH_POZVYH!$H$9:$L$12</definedName>
    <definedName name="KOD_TARIF2">'Tarif_IndexPozvyhledat(2)'!$H$9:$H$12</definedName>
    <definedName name="_xlnm.Criteria" localSheetId="18">POZVYHLEDAT_NeSoulad!$G$2:$H$3</definedName>
    <definedName name="KVARTAL">TransformaceSloupcu!$B$2:$B$8</definedName>
    <definedName name="kvi">KŘÍŽOVÝ_VÝBĚR_INTERVAL!$E$3:$I$7</definedName>
    <definedName name="nom" localSheetId="13">INDEX_POZ_VíceSloupců!$H$9:$H$28</definedName>
    <definedName name="OBLAST">SVYHLEDAT_POZVYHLEDAT_Oblast!$F$1:$J$1</definedName>
    <definedName name="_xlnm.Print_Area" localSheetId="13">INDEX_POZ_VíceSloupců!$B$2:$F$28</definedName>
    <definedName name="_xlnm.Print_Area" localSheetId="14">Index_VíceSloupců_Matice!$B$2:$F$28</definedName>
    <definedName name="_xlnm.Print_Area" localSheetId="3">'Svyhledat(2)'!$B$2:$F$28</definedName>
    <definedName name="prénom" localSheetId="13">INDEX_POZ_VíceSloupců!$I$9:$I$28</definedName>
    <definedName name="PRIJMENI">Index_VíceSloupců_Matice!$H$9:$H$28</definedName>
    <definedName name="PRIJMENI_JMENO">INDEX_POZ_VíceSloupců!$J$9:$J$28</definedName>
    <definedName name="prijmeni2">Index_VíceSloupců_Matice!$H$9:$H$28</definedName>
    <definedName name="prix" localSheetId="7">IndexPozvyhledat!$C$22:$M$30</definedName>
    <definedName name="Prix">INDEX_POZVYHLEDAT_MIN!$B$3:$E$7</definedName>
    <definedName name="PRODUKT">TransformaceSloupcu!$C$2:$C$8</definedName>
    <definedName name="PRODUKTY">SVYHLEDAT_TURBO!$H$3:$J$12</definedName>
    <definedName name="puissance2" localSheetId="12">TarifVyhledání!$N$7:$W$7</definedName>
    <definedName name="sazba" localSheetId="12">TarifVyhledání!$B$7:$K$7</definedName>
    <definedName name="SIRKA">IndexPozvyhledat!$B$22:$B$30</definedName>
    <definedName name="TABULKA_HODNOT">SVYHLEDAT_POZVYHLEDAT_Oblast!$F$1:$J$11</definedName>
    <definedName name="Tabulka_Produkty">SVYHLEDAT_komplexni_reseni!$H$3:$J$12</definedName>
    <definedName name="Tabulka_slevy">SVYHLEDAT_komplexni_reseni!$H$16:$I$20</definedName>
    <definedName name="tarif" localSheetId="12">TarifVyhledání!$B$8:$K$13</definedName>
    <definedName name="tarif2" localSheetId="12">TarifVyhledání!$N$8:$W$13</definedName>
    <definedName name="usine">SVYHLEDAT_POZVYHLEDAT_Oblast!$G$1:$J$1</definedName>
    <definedName name="VYROBEK">SVYHLEDAT_POZVYHLEDAT_Oblast!$F$1:$F$11</definedName>
    <definedName name="ZoneCZ">SVYHLEDAT_NEPRIMYODKAZ_Zeme!$L$3:$M$7</definedName>
    <definedName name="ZoneESP" localSheetId="25">INDEX_POZVYHLEDAT_Zeme!$L$3:$M$7</definedName>
    <definedName name="ZoneFR" localSheetId="25">INDEX_POZVYHLEDAT_Zeme!$H$3:$I$7</definedName>
    <definedName name="ZoneFR">SVYHLEDAT_NEPRIMYODKAZ_Zeme!$F$3:$G$7</definedName>
    <definedName name="ZoneIT" localSheetId="25">INDEX_POZVYHLEDAT_Zeme!$J$3:$K$7</definedName>
    <definedName name="ZoneIT">SVYHLEDAT_NEPRIMYODKAZ_Zeme!$I$3:$J$7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6" l="1"/>
  <c r="A11" i="36"/>
  <c r="A12" i="36"/>
  <c r="A13" i="36"/>
  <c r="B1" i="23"/>
  <c r="B2" i="23"/>
  <c r="J9" i="20"/>
  <c r="J10" i="20"/>
  <c r="C7" i="20" s="1"/>
  <c r="J11" i="20"/>
  <c r="C6" i="20" s="1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C4" i="25"/>
  <c r="C5" i="25"/>
  <c r="C6" i="25"/>
  <c r="C7" i="25"/>
  <c r="C8" i="25"/>
  <c r="F3" i="29"/>
  <c r="F4" i="29"/>
  <c r="F5" i="29"/>
  <c r="F6" i="29"/>
  <c r="F7" i="29"/>
  <c r="C10" i="39"/>
  <c r="C11" i="39"/>
  <c r="C12" i="39"/>
  <c r="C13" i="39"/>
  <c r="C14" i="39"/>
  <c r="C2" i="26"/>
  <c r="C5" i="14" a="1"/>
  <c r="C5" i="14" s="1"/>
  <c r="C6" i="14" a="1"/>
  <c r="C6" i="14" s="1"/>
  <c r="C7" i="14" a="1"/>
  <c r="C7" i="14" s="1"/>
  <c r="C5" i="37"/>
  <c r="C7" i="37" s="1"/>
  <c r="C6" i="37"/>
  <c r="D15" i="22"/>
  <c r="D2" i="24"/>
  <c r="D3" i="24"/>
  <c r="D4" i="24"/>
  <c r="D5" i="24"/>
  <c r="D6" i="24"/>
  <c r="D7" i="24"/>
  <c r="D8" i="24"/>
  <c r="D9" i="24"/>
  <c r="B4" i="33"/>
  <c r="D2" i="31"/>
  <c r="E2" i="31"/>
  <c r="F2" i="31"/>
  <c r="G2" i="31"/>
  <c r="H2" i="31"/>
  <c r="I2" i="31"/>
  <c r="J2" i="31"/>
  <c r="K2" i="31"/>
  <c r="L2" i="31"/>
  <c r="M2" i="31"/>
  <c r="N2" i="31"/>
  <c r="O2" i="31"/>
  <c r="D3" i="31"/>
  <c r="E3" i="31"/>
  <c r="F3" i="31"/>
  <c r="G3" i="31"/>
  <c r="H3" i="31"/>
  <c r="I3" i="31"/>
  <c r="J3" i="31"/>
  <c r="K3" i="31"/>
  <c r="L3" i="31"/>
  <c r="M3" i="31"/>
  <c r="N3" i="31"/>
  <c r="O3" i="31"/>
  <c r="D4" i="31"/>
  <c r="E4" i="31"/>
  <c r="F4" i="31"/>
  <c r="G4" i="31"/>
  <c r="H4" i="31"/>
  <c r="I4" i="31"/>
  <c r="J4" i="31"/>
  <c r="K4" i="31"/>
  <c r="L4" i="31"/>
  <c r="M4" i="31"/>
  <c r="N4" i="31"/>
  <c r="O4" i="31"/>
  <c r="D5" i="31"/>
  <c r="E5" i="31"/>
  <c r="F5" i="31"/>
  <c r="G5" i="31"/>
  <c r="H5" i="31"/>
  <c r="I5" i="31"/>
  <c r="J5" i="31"/>
  <c r="K5" i="31"/>
  <c r="L5" i="31"/>
  <c r="M5" i="31"/>
  <c r="N5" i="31"/>
  <c r="O5" i="31"/>
  <c r="C8" i="35"/>
  <c r="D8" i="35"/>
  <c r="C9" i="35"/>
  <c r="D9" i="35"/>
  <c r="C10" i="35"/>
  <c r="D10" i="35"/>
  <c r="C5" i="11"/>
  <c r="C6" i="11"/>
  <c r="C7" i="11"/>
  <c r="C13" i="11"/>
  <c r="B4" i="27"/>
  <c r="B9" i="18"/>
  <c r="C9" i="18"/>
  <c r="E9" i="18" s="1"/>
  <c r="B10" i="18"/>
  <c r="C10" i="18"/>
  <c r="E10" i="18"/>
  <c r="B11" i="18"/>
  <c r="C11" i="18"/>
  <c r="E11" i="18" s="1"/>
  <c r="B12" i="18"/>
  <c r="C12" i="18"/>
  <c r="E12" i="18"/>
  <c r="B13" i="18"/>
  <c r="C13" i="18"/>
  <c r="E13" i="18" s="1"/>
  <c r="B14" i="18"/>
  <c r="C14" i="18"/>
  <c r="E14" i="18"/>
  <c r="B15" i="18"/>
  <c r="C15" i="18"/>
  <c r="B5" i="28"/>
  <c r="B6" i="28"/>
  <c r="C8" i="17"/>
  <c r="H8" i="17"/>
  <c r="C9" i="17"/>
  <c r="H9" i="17"/>
  <c r="C10" i="17"/>
  <c r="H10" i="17"/>
  <c r="C11" i="17"/>
  <c r="H11" i="17"/>
  <c r="C12" i="17"/>
  <c r="H12" i="17"/>
  <c r="B9" i="34"/>
  <c r="C9" i="34"/>
  <c r="E9" i="34" s="1"/>
  <c r="B10" i="34"/>
  <c r="C10" i="34"/>
  <c r="E10" i="34"/>
  <c r="B11" i="34"/>
  <c r="C11" i="34"/>
  <c r="E11" i="34" s="1"/>
  <c r="B12" i="34"/>
  <c r="C12" i="34"/>
  <c r="E12" i="34"/>
  <c r="B13" i="34"/>
  <c r="C13" i="34"/>
  <c r="E13" i="34" s="1"/>
  <c r="E14" i="34"/>
  <c r="E15" i="34"/>
  <c r="D10" i="13"/>
  <c r="D11" i="13"/>
  <c r="D12" i="13"/>
  <c r="D13" i="13"/>
  <c r="D14" i="13"/>
  <c r="D15" i="13"/>
  <c r="D16" i="13"/>
  <c r="D17" i="13"/>
  <c r="D18" i="13"/>
  <c r="D19" i="13"/>
  <c r="E9" i="12"/>
  <c r="E10" i="12"/>
  <c r="E11" i="12"/>
  <c r="E12" i="12"/>
  <c r="E13" i="12"/>
  <c r="E14" i="12"/>
  <c r="E15" i="12"/>
  <c r="E16" i="12"/>
  <c r="E17" i="12"/>
  <c r="E18" i="12"/>
  <c r="E9" i="10"/>
  <c r="E10" i="10"/>
  <c r="E11" i="10"/>
  <c r="E12" i="10"/>
  <c r="E13" i="10"/>
  <c r="E14" i="10"/>
  <c r="E15" i="10"/>
  <c r="E16" i="10"/>
  <c r="E17" i="10"/>
  <c r="E18" i="10"/>
  <c r="D10" i="6"/>
  <c r="D11" i="6"/>
  <c r="D12" i="6"/>
  <c r="D13" i="6"/>
  <c r="D14" i="6"/>
  <c r="D15" i="6"/>
  <c r="D16" i="6"/>
  <c r="D17" i="6"/>
  <c r="D18" i="6"/>
  <c r="D19" i="6"/>
  <c r="G9" i="15" a="1"/>
  <c r="G9" i="15" s="1"/>
  <c r="H9" i="15"/>
  <c r="H9" i="15" a="1"/>
  <c r="I9" i="15" a="1"/>
  <c r="I9" i="15" s="1"/>
  <c r="G10" i="15"/>
  <c r="G10" i="15" a="1"/>
  <c r="H10" i="15" a="1"/>
  <c r="H10" i="15" s="1"/>
  <c r="I10" i="15"/>
  <c r="I10" i="15" a="1"/>
  <c r="G11" i="15" a="1"/>
  <c r="G11" i="15" s="1"/>
  <c r="H11" i="15"/>
  <c r="H11" i="15" a="1"/>
  <c r="I11" i="15" a="1"/>
  <c r="I11" i="15" s="1"/>
  <c r="C13" i="38"/>
  <c r="C10" i="38"/>
  <c r="C14" i="38"/>
  <c r="C11" i="38"/>
  <c r="C12" i="38"/>
  <c r="B4" i="23" l="1"/>
  <c r="F10" i="25"/>
  <c r="F4" i="25"/>
  <c r="F6" i="25" s="1"/>
  <c r="E17" i="18"/>
  <c r="C5" i="20"/>
  <c r="C13" i="20"/>
  <c r="E19" i="18" l="1"/>
  <c r="E20" i="18" s="1"/>
  <c r="E22" i="18" l="1"/>
  <c r="E23" i="18" s="1"/>
</calcChain>
</file>

<file path=xl/sharedStrings.xml><?xml version="1.0" encoding="utf-8"?>
<sst xmlns="http://schemas.openxmlformats.org/spreadsheetml/2006/main" count="934" uniqueCount="370">
  <si>
    <t>sib-01</t>
  </si>
  <si>
    <t>sib-02</t>
  </si>
  <si>
    <t>sib-03</t>
  </si>
  <si>
    <t>sib-04</t>
  </si>
  <si>
    <t>sib-05</t>
  </si>
  <si>
    <t>sib-06</t>
  </si>
  <si>
    <t>sib-07</t>
  </si>
  <si>
    <t>sib-08</t>
  </si>
  <si>
    <t>sib-09</t>
  </si>
  <si>
    <t>sib-10</t>
  </si>
  <si>
    <t>B</t>
  </si>
  <si>
    <t>A</t>
  </si>
  <si>
    <t>C</t>
  </si>
  <si>
    <t>D</t>
  </si>
  <si>
    <t>Tarif</t>
  </si>
  <si>
    <t>11,rue des Fleurs</t>
  </si>
  <si>
    <t>Neuilly</t>
  </si>
  <si>
    <t>14,rue de Milan</t>
  </si>
  <si>
    <t>Paris</t>
  </si>
  <si>
    <t>13,rue Nobel</t>
  </si>
  <si>
    <t>Boulogne</t>
  </si>
  <si>
    <t>16,rue de Boulogne</t>
  </si>
  <si>
    <t>Montigny</t>
  </si>
  <si>
    <t>Veuillez trouver ci-joint ……</t>
  </si>
  <si>
    <t>155,rue de Rivoli</t>
  </si>
  <si>
    <t>Issy</t>
  </si>
  <si>
    <t>Sevres</t>
  </si>
  <si>
    <t>Prest1</t>
  </si>
  <si>
    <t>Prest2</t>
  </si>
  <si>
    <t>Prest3</t>
  </si>
  <si>
    <t>Prest4</t>
  </si>
  <si>
    <t>Q1</t>
  </si>
  <si>
    <t>Q2</t>
  </si>
  <si>
    <t>Q3</t>
  </si>
  <si>
    <t>Martin</t>
  </si>
  <si>
    <t>Montant</t>
  </si>
  <si>
    <t>F02</t>
  </si>
  <si>
    <t>F03</t>
  </si>
  <si>
    <t>F04</t>
  </si>
  <si>
    <t>F05</t>
  </si>
  <si>
    <t>F06</t>
  </si>
  <si>
    <t>Total</t>
  </si>
  <si>
    <t>Accueil</t>
  </si>
  <si>
    <t>=RecherchevCode!$H$9:$L$28</t>
  </si>
  <si>
    <t>base</t>
  </si>
  <si>
    <t>xxx</t>
  </si>
  <si>
    <t>Début</t>
  </si>
  <si>
    <t>Fin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</si>
  <si>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</si>
  <si>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</si>
  <si>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</si>
  <si>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</si>
  <si>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</si>
  <si>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</si>
  <si>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</si>
  <si>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</si>
  <si>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</si>
  <si>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</si>
  <si>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</si>
  <si>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</si>
  <si>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ART1</t>
  </si>
  <si>
    <t>ART4</t>
  </si>
  <si>
    <t>ART3</t>
  </si>
  <si>
    <t>ART6</t>
  </si>
  <si>
    <t>ART5</t>
  </si>
  <si>
    <t>ART7</t>
  </si>
  <si>
    <t>51</t>
  </si>
  <si>
    <t>02</t>
  </si>
  <si>
    <t>10</t>
  </si>
  <si>
    <t>Prod1</t>
  </si>
  <si>
    <t>Prod2</t>
  </si>
  <si>
    <t>Prod3</t>
  </si>
  <si>
    <t>Prod4</t>
  </si>
  <si>
    <t>Prod5</t>
  </si>
  <si>
    <t>FR</t>
  </si>
  <si>
    <t>IT</t>
  </si>
  <si>
    <t>ZoneFR</t>
  </si>
  <si>
    <t>ZoneIT</t>
  </si>
  <si>
    <t>Tabulka výrobků</t>
  </si>
  <si>
    <t>Základní deska</t>
  </si>
  <si>
    <t>ID</t>
  </si>
  <si>
    <t>Popis</t>
  </si>
  <si>
    <t>Cena</t>
  </si>
  <si>
    <t>Obrazovka</t>
  </si>
  <si>
    <t>Klávesnice</t>
  </si>
  <si>
    <t>Myš</t>
  </si>
  <si>
    <t>DVD mechanika</t>
  </si>
  <si>
    <t>Tiskárna</t>
  </si>
  <si>
    <t>Jméno</t>
  </si>
  <si>
    <t>Oslovení</t>
  </si>
  <si>
    <t>Ulice</t>
  </si>
  <si>
    <t>Město</t>
  </si>
  <si>
    <t>PSČ</t>
  </si>
  <si>
    <t>Pan</t>
  </si>
  <si>
    <t>Paní</t>
  </si>
  <si>
    <t>Se srdečným pozdravem</t>
  </si>
  <si>
    <t>Mgr. Jiří Číhař</t>
  </si>
  <si>
    <t>Černý</t>
  </si>
  <si>
    <t>Nováková</t>
  </si>
  <si>
    <t>Janík</t>
  </si>
  <si>
    <t>Janíková</t>
  </si>
  <si>
    <t>Hrdá</t>
  </si>
  <si>
    <t>Synková</t>
  </si>
  <si>
    <t>Jonášová</t>
  </si>
  <si>
    <t>Macek</t>
  </si>
  <si>
    <t>Berka</t>
  </si>
  <si>
    <t>Lahoda</t>
  </si>
  <si>
    <t>Kopečná</t>
  </si>
  <si>
    <t>Berková</t>
  </si>
  <si>
    <t>Malá</t>
  </si>
  <si>
    <t>Horová</t>
  </si>
  <si>
    <t>Hatlová</t>
  </si>
  <si>
    <t>Ottová</t>
  </si>
  <si>
    <t>Bínová</t>
  </si>
  <si>
    <t>Racek</t>
  </si>
  <si>
    <t>Lešková</t>
  </si>
  <si>
    <t>Lipan</t>
  </si>
  <si>
    <t>Tabulka slev</t>
  </si>
  <si>
    <t>ČÁSTKA</t>
  </si>
  <si>
    <t>SLEVA</t>
  </si>
  <si>
    <t>FAKTURA</t>
  </si>
  <si>
    <t>Sleva</t>
  </si>
  <si>
    <t>Faktura od - do</t>
  </si>
  <si>
    <t>Faktura</t>
  </si>
  <si>
    <t>Tabulka kódů</t>
  </si>
  <si>
    <t>Kód</t>
  </si>
  <si>
    <t>Pozice kódu v tabulce</t>
  </si>
  <si>
    <t>Měsíc</t>
  </si>
  <si>
    <t>Den</t>
  </si>
  <si>
    <t>Teplota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</si>
  <si>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</si>
  <si>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</si>
  <si>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</si>
  <si>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</si>
  <si>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</si>
  <si>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</si>
  <si>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</si>
  <si>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</si>
  <si>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</si>
  <si>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</si>
  <si>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</si>
  <si>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</si>
  <si>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ŠÍŘKA</t>
  </si>
  <si>
    <t>DÉLKA</t>
  </si>
  <si>
    <t>Šířka</t>
  </si>
  <si>
    <t>Délka</t>
  </si>
  <si>
    <t>Řádek</t>
  </si>
  <si>
    <t>Sloupec</t>
  </si>
  <si>
    <t>Pojmenované oblasti</t>
  </si>
  <si>
    <t>CENA</t>
  </si>
  <si>
    <t>=IndexPozvyhledat!$C$22:$M$30</t>
  </si>
  <si>
    <t>DELKA</t>
  </si>
  <si>
    <t>=IndexPozvyhledat!$C$21:$M$21</t>
  </si>
  <si>
    <t>=IndexPozvyhledat!$B$22:$B$30</t>
  </si>
  <si>
    <t>SIRKA</t>
  </si>
  <si>
    <t>Datum dokončení</t>
  </si>
  <si>
    <t>Tarifní kód</t>
  </si>
  <si>
    <t>Zakázka 2</t>
  </si>
  <si>
    <t>Zakázka 3</t>
  </si>
  <si>
    <t>Zakázka 4</t>
  </si>
  <si>
    <t>Zakázka 5</t>
  </si>
  <si>
    <t>Zakázka 6</t>
  </si>
  <si>
    <t>Zakázka 7</t>
  </si>
  <si>
    <t>Zakázka 8</t>
  </si>
  <si>
    <t>Zakázka 9</t>
  </si>
  <si>
    <t>Zakázka 10</t>
  </si>
  <si>
    <t>Zakázka 1</t>
  </si>
  <si>
    <t>Projekt</t>
  </si>
  <si>
    <t>KOD_TARIF</t>
  </si>
  <si>
    <t>=Tarif_SVYH_POZVYH!$I$8:$L$8</t>
  </si>
  <si>
    <t>=Tarif_SVYH_POZVYH!$H$9:$L$12</t>
  </si>
  <si>
    <t>='Tarif_IndexPozvyhledat(2)'!$I$8:$L$8</t>
  </si>
  <si>
    <t>DATA1</t>
  </si>
  <si>
    <t>='Tarif_IndexPozvyhledat(2)'!$I$9:$L$12</t>
  </si>
  <si>
    <t>KOD_TARIF2</t>
  </si>
  <si>
    <t>='Tarif_IndexPozvyhledat(2)'!$H$9:$H$12</t>
  </si>
  <si>
    <t>F9 &gt; změna hodnot</t>
  </si>
  <si>
    <t>Dodavatel</t>
  </si>
  <si>
    <t>Dodavatel 2</t>
  </si>
  <si>
    <t>Dodavatel 3</t>
  </si>
  <si>
    <t>Dodavatel 4</t>
  </si>
  <si>
    <t>Dodavatel 1</t>
  </si>
  <si>
    <t>Produkt2</t>
  </si>
  <si>
    <t>Produkt3</t>
  </si>
  <si>
    <t>Produkt4</t>
  </si>
  <si>
    <t>Produkt5</t>
  </si>
  <si>
    <t>Produkt1</t>
  </si>
  <si>
    <t>nejnižší cena</t>
  </si>
  <si>
    <t>Francie</t>
  </si>
  <si>
    <t>Itálie</t>
  </si>
  <si>
    <t>Česko</t>
  </si>
  <si>
    <t>Produkt</t>
  </si>
  <si>
    <t>Seznam zemí</t>
  </si>
  <si>
    <t>CZ</t>
  </si>
  <si>
    <t>ZoneCZ</t>
  </si>
  <si>
    <t>Země</t>
  </si>
  <si>
    <t>Jan</t>
  </si>
  <si>
    <t>Jana</t>
  </si>
  <si>
    <t>Petr</t>
  </si>
  <si>
    <t>Leona</t>
  </si>
  <si>
    <t>Eva</t>
  </si>
  <si>
    <t>Hana</t>
  </si>
  <si>
    <t>Jiří</t>
  </si>
  <si>
    <t>Pavel</t>
  </si>
  <si>
    <t>Jitka</t>
  </si>
  <si>
    <t>Martina</t>
  </si>
  <si>
    <t>Helena</t>
  </si>
  <si>
    <t>Sylva</t>
  </si>
  <si>
    <t>Olga</t>
  </si>
  <si>
    <t>Václav</t>
  </si>
  <si>
    <t>Kamila</t>
  </si>
  <si>
    <t>Monika</t>
  </si>
  <si>
    <t>Milan</t>
  </si>
  <si>
    <t>Lukáš</t>
  </si>
  <si>
    <t>Příjmení</t>
  </si>
  <si>
    <t>PříjmeníJméno</t>
  </si>
  <si>
    <t>BASE</t>
  </si>
  <si>
    <t>PRIJMENI_JMENO</t>
  </si>
  <si>
    <t>=Index_VíceSloupců_Matice!$H$9:$M$28</t>
  </si>
  <si>
    <t>JMENO</t>
  </si>
  <si>
    <t>=Index_VíceSloupců_Matice!$I$9:$I$28</t>
  </si>
  <si>
    <t>=Index_VíceSloupců_Matice!$H$9:$H$28</t>
  </si>
  <si>
    <r>
      <t xml:space="preserve">PRAVDA = funkce </t>
    </r>
    <r>
      <rPr>
        <b/>
        <u/>
        <sz val="10"/>
        <color indexed="10"/>
        <rFont val="Arial"/>
        <family val="2"/>
      </rPr>
      <t>nehledá</t>
    </r>
    <r>
      <rPr>
        <b/>
        <sz val="10"/>
        <rFont val="Arial"/>
        <family val="2"/>
      </rPr>
      <t xml:space="preserve"> přesnou hodnotu, ale </t>
    </r>
    <r>
      <rPr>
        <b/>
        <u/>
        <sz val="10"/>
        <color indexed="21"/>
        <rFont val="Arial"/>
        <family val="2"/>
      </rPr>
      <t>hledá</t>
    </r>
    <r>
      <rPr>
        <b/>
        <sz val="10"/>
        <rFont val="Arial"/>
        <family val="2"/>
      </rPr>
      <t xml:space="preserve"> v 1. sloupci oblasti </t>
    </r>
  </si>
  <si>
    <t>hodnotu nejbližší nižší</t>
  </si>
  <si>
    <t>Tarifní pásmo</t>
  </si>
  <si>
    <t>Oblast</t>
  </si>
  <si>
    <t>KOD_OBLAST</t>
  </si>
  <si>
    <t>KOD_OBLAST2</t>
  </si>
  <si>
    <r>
      <t xml:space="preserve">NEPRAVDA - hledám přesnou hodnotu </t>
    </r>
    <r>
      <rPr>
        <b/>
        <sz val="9"/>
        <color indexed="10"/>
        <rFont val="Verdana"/>
        <family val="2"/>
      </rPr>
      <t>D9</t>
    </r>
    <r>
      <rPr>
        <sz val="9"/>
        <rFont val="Verdana"/>
        <family val="2"/>
      </rPr>
      <t xml:space="preserve"> v oblasti </t>
    </r>
    <r>
      <rPr>
        <b/>
        <sz val="9"/>
        <color indexed="12"/>
        <rFont val="Verdana"/>
        <family val="2"/>
      </rPr>
      <t>KOD_TARIF</t>
    </r>
  </si>
  <si>
    <t>Bílý</t>
  </si>
  <si>
    <t>Zelený</t>
  </si>
  <si>
    <t>=TransformaceSloupcu!$A$2:$A$8</t>
  </si>
  <si>
    <t>KVARTAL</t>
  </si>
  <si>
    <t>=TransformaceSloupcu!$B$2:$B$8</t>
  </si>
  <si>
    <t>PRODUKT</t>
  </si>
  <si>
    <t>=TransformaceSloupcu!$C$2:$C$8</t>
  </si>
  <si>
    <t>Pojmenovane oblasti</t>
  </si>
  <si>
    <t>Kvartál</t>
  </si>
  <si>
    <t>Axxx</t>
  </si>
  <si>
    <t>Bxxx</t>
  </si>
  <si>
    <t>Cxxx</t>
  </si>
  <si>
    <t>Ayyy</t>
  </si>
  <si>
    <t>Byyy</t>
  </si>
  <si>
    <t>Awww</t>
  </si>
  <si>
    <t>Cwww</t>
  </si>
  <si>
    <t>Existuje?</t>
  </si>
  <si>
    <t>Obsah</t>
  </si>
  <si>
    <t>SVYHLEDAT - (1)</t>
  </si>
  <si>
    <t>SVYHLEDAT - (2)</t>
  </si>
  <si>
    <t>SVYHLEDAT - přibližná hodnota</t>
  </si>
  <si>
    <t>POZVYHLEDAT</t>
  </si>
  <si>
    <t>INDEX</t>
  </si>
  <si>
    <t>INDEX_POZVYHLEDAT</t>
  </si>
  <si>
    <t>SVYHLEDAT_Tarif</t>
  </si>
  <si>
    <t>INDEX_POZVYHLEDAT_Tarif</t>
  </si>
  <si>
    <t>SVYHLEDAT_POZVYHLEDAT_Tarif</t>
  </si>
  <si>
    <t>INDEX_POZVYHLEDAT_Tarif(2)</t>
  </si>
  <si>
    <t>=INDEX_POZ_VíceSloupců!$H$9:$N$28</t>
  </si>
  <si>
    <t>=INDEX_POZ_VíceSloupců!$J$9:$J$28</t>
  </si>
  <si>
    <t>INDEX_POZVYHLEDAT_VíceSloupců</t>
  </si>
  <si>
    <t>INDEX_POZVYHLEDAT_VíceSloupců_MATICE</t>
  </si>
  <si>
    <t>INDEX_POZVYHLEDAT_TransformaceSloupců_MATICE</t>
  </si>
  <si>
    <t>RV</t>
  </si>
  <si>
    <t>Ryzlink vlašský</t>
  </si>
  <si>
    <t>RR</t>
  </si>
  <si>
    <t>Ryzlink rýnský</t>
  </si>
  <si>
    <t>SN2002</t>
  </si>
  <si>
    <t>SN2007</t>
  </si>
  <si>
    <t>VZ</t>
  </si>
  <si>
    <t>Veltlínské zelené</t>
  </si>
  <si>
    <t>VG2005</t>
  </si>
  <si>
    <t>Vermentino di Gallura, ročník 2005</t>
  </si>
  <si>
    <t>VG2006</t>
  </si>
  <si>
    <t>Vermentino di Gallura, ročník 2006</t>
  </si>
  <si>
    <t>AE</t>
  </si>
  <si>
    <t>Andre</t>
  </si>
  <si>
    <t>AUR2003</t>
  </si>
  <si>
    <t>Aurelius, ročník 2003</t>
  </si>
  <si>
    <t>Cabernet Sauvignon, ročník 2002</t>
  </si>
  <si>
    <t>Cabernet Sauvignon, ročník 2007</t>
  </si>
  <si>
    <t>DH 2007</t>
  </si>
  <si>
    <t>Dan Hermite, ročník 2007</t>
  </si>
  <si>
    <t>Tabulka produktů</t>
  </si>
  <si>
    <t>Název</t>
  </si>
  <si>
    <t>Celkem</t>
  </si>
  <si>
    <t>Celková cena</t>
  </si>
  <si>
    <t>Sazba slevy</t>
  </si>
  <si>
    <t>DPH sazba</t>
  </si>
  <si>
    <t>DPH částka</t>
  </si>
  <si>
    <t>Cena s DPH</t>
  </si>
  <si>
    <t>Sleva sazba</t>
  </si>
  <si>
    <t>Sleva částka</t>
  </si>
  <si>
    <t>MER</t>
  </si>
  <si>
    <t>Led</t>
  </si>
  <si>
    <t>Ún</t>
  </si>
  <si>
    <t>Břez</t>
  </si>
  <si>
    <t>Dub</t>
  </si>
  <si>
    <t>Kvě</t>
  </si>
  <si>
    <t>Čern</t>
  </si>
  <si>
    <t>Čerc</t>
  </si>
  <si>
    <t>Srp</t>
  </si>
  <si>
    <t>Zář</t>
  </si>
  <si>
    <t>Říj</t>
  </si>
  <si>
    <t>List</t>
  </si>
  <si>
    <t>Pros</t>
  </si>
  <si>
    <t>Počet</t>
  </si>
  <si>
    <t>Sever</t>
  </si>
  <si>
    <t>Východ</t>
  </si>
  <si>
    <t>Jih</t>
  </si>
  <si>
    <t>Západ</t>
  </si>
  <si>
    <t>Výrobek 2</t>
  </si>
  <si>
    <t>Výrobek 3</t>
  </si>
  <si>
    <t>Výrobek 4</t>
  </si>
  <si>
    <t>Výrobek 5</t>
  </si>
  <si>
    <t>Výrobek 6</t>
  </si>
  <si>
    <t>Výrobek 7</t>
  </si>
  <si>
    <t>Výrobek 8</t>
  </si>
  <si>
    <t>Výrobek 9</t>
  </si>
  <si>
    <t>Výrobek 10</t>
  </si>
  <si>
    <t>Výrobek 1</t>
  </si>
  <si>
    <t>Věk</t>
  </si>
  <si>
    <t>Volba</t>
  </si>
  <si>
    <t>Výrobek</t>
  </si>
  <si>
    <t>OBLAST</t>
  </si>
  <si>
    <t>TABULKA_HODNOT</t>
  </si>
  <si>
    <t>VYROBEK</t>
  </si>
  <si>
    <t>Praha</t>
  </si>
  <si>
    <t>Plzeň</t>
  </si>
  <si>
    <t>Brno</t>
  </si>
  <si>
    <t>Pardubice</t>
  </si>
  <si>
    <t>=SVYHLEDAT_POZVYHLEDAT_Oblast!$F$1:$J$11</t>
  </si>
  <si>
    <t>=SVYHLEDAT_POZVYHLEDAT_Oblast!$F$1:$J$1</t>
  </si>
  <si>
    <t>=SVYHLEDAT_POZVYHLEDAT_Oblast!$F$1:$F$11</t>
  </si>
  <si>
    <t>SVYHLEDAT + POZVYHLEDAT</t>
  </si>
  <si>
    <t>INDEX + POZVYHLEDAT</t>
  </si>
  <si>
    <t>Kolín</t>
  </si>
  <si>
    <t>Počet maximum</t>
  </si>
  <si>
    <t>jediný vzorec</t>
  </si>
  <si>
    <t>=SVYHLEDAT_komplexni_reseni!$H$3:$J$12</t>
  </si>
  <si>
    <t>Tabulka_Produkty</t>
  </si>
  <si>
    <t>Tabulka_slevy</t>
  </si>
  <si>
    <t>=SVYHLEDAT_komplexni_reseni!$H$16:$I$20</t>
  </si>
  <si>
    <t>Množství</t>
  </si>
  <si>
    <t>PRODUKTY</t>
  </si>
  <si>
    <t>=SVYHLEDAT_TURBO!$H$3:$J$12</t>
  </si>
  <si>
    <t>SVYHLEDAT(3)</t>
  </si>
  <si>
    <t>POZVYHLEDAT(hledaná_hodnota;tabulka_hodnot;0 nebo 1 nebo -1)</t>
  </si>
  <si>
    <t>INDEX(tabulka_hodnot;řádek;sloupec)</t>
  </si>
  <si>
    <t>SVYHLEDAT(hledaná_hodnota;tabulka_hodnot;sloupec;PRAVDA  nebo  NEPRAVDA / 0 nebo 1 )</t>
  </si>
  <si>
    <t>prijmeni2</t>
  </si>
  <si>
    <t>jmeno2</t>
  </si>
  <si>
    <t>SVYHLEDAT_komplexni_reseni</t>
  </si>
  <si>
    <t>SVYHLEDAT_TURBO</t>
  </si>
  <si>
    <t>POZVYHLEDAT_NeSoulad</t>
  </si>
  <si>
    <t>INDEX_RADEK</t>
  </si>
  <si>
    <t>SVYHLEDAT_POZVYHLEDAT_Oblast</t>
  </si>
  <si>
    <t>INDEX_POZVYHLEDAT_MAX</t>
  </si>
  <si>
    <t>INDEX_POZVYHLEDAT_MIN</t>
  </si>
  <si>
    <t>=SVYHLEDAT_NEPRIMYODKAZ_Zeme!$L$3:$M$7</t>
  </si>
  <si>
    <t>=SVYHLEDAT_NEPRIMYODKAZ_Zeme!$F$3:$G$7</t>
  </si>
  <si>
    <t>=SVYHLEDAT_NEPRIMYODKAZ_Zeme!$I$3:$J$7</t>
  </si>
  <si>
    <t>SVYHLEDAT_NEPRIMYODKAZ_Zeme</t>
  </si>
  <si>
    <t>INDEX_POZVYHLEDAT_Zeme</t>
  </si>
  <si>
    <t>59</t>
  </si>
  <si>
    <t>kategorie</t>
  </si>
  <si>
    <t>sazba</t>
  </si>
  <si>
    <t>TARIF VYHLEDÁNÍ</t>
  </si>
  <si>
    <t>Křížový výběr v intervalu</t>
  </si>
  <si>
    <t>Koeficient</t>
  </si>
  <si>
    <t>KŘÍŽOVÝ VÝBĚR V INTERVALU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</si>
</sst>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8" formatCode="#,##0.00\ &quot;Kč&quot;;[Red]\-#,##0.00\ &quot;Kč&quot;"/>
    <numFmt numFmtId="44" formatCode="_-* #,##0.00\ &quot;Kč&quot;_-;\-* #,##0.00\ &quot;Kč&quot;_-;_-* &quot;-&quot;??\ &quot;Kč&quot;_-;_-@_-"/>
    <numFmt numFmtId="172" formatCode="_-* #,##0.00\ &quot;€&quot;_-;\-* #,##0.00\ &quot;€&quot;_-;_-* &quot;-&quot;??\ &quot;€&quot;_-;_-@_-"/>
    <numFmt numFmtId="174" formatCode="dd/mm/yy"/>
    <numFmt numFmtId="175" formatCode="##,#0\:\-#,##0;"/>
    <numFmt numFmtId="176" formatCode="_-* #,##0.00\ [$€]_-;\-* #,##0.00\ [$€]_-;_-* &quot;-&quot;??\ [$€]_-;_-@_-"/>
    <numFmt numFmtId="184" formatCode="_-* #,##0.00\ _F_-;\-* #,##0.00\ _F_-;_-* &quot;-&quot;??\ _F_-;_-@_-"/>
    <numFmt numFmtId="190" formatCode="0.0"/>
    <numFmt numFmtId="198" formatCode=";;;"/>
    <numFmt numFmtId="200" formatCode="#,##0.00[$€];[Red]\-#,##0.00[$€]"/>
    <numFmt numFmtId="208" formatCode="#,##0\ _€"/>
    <numFmt numFmtId="214" formatCode="_-* #,##0\ &quot;Kč&quot;_-;\-* #,##0\ &quot;Kč&quot;_-;_-* &quot;-&quot;??\ &quot;Kč&quot;_-;_-@_-"/>
    <numFmt numFmtId="215" formatCode="#,##0.00\ &quot;Kč&quot;"/>
  </numFmts>
  <fonts count="4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i/>
      <sz val="10"/>
      <name val="Arial"/>
      <family val="2"/>
    </font>
    <font>
      <b/>
      <i/>
      <sz val="9"/>
      <name val="Verdana"/>
      <family val="2"/>
    </font>
    <font>
      <sz val="8"/>
      <name val="Verdana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sz val="10"/>
      <name val="Verdana"/>
      <family val="2"/>
    </font>
    <font>
      <i/>
      <sz val="9"/>
      <name val="Verdana"/>
      <family val="2"/>
    </font>
    <font>
      <u/>
      <sz val="9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</font>
    <font>
      <b/>
      <i/>
      <sz val="8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8"/>
      <name val="Arial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i/>
      <sz val="8"/>
      <name val="Verdana"/>
      <family val="2"/>
      <charset val="238"/>
    </font>
    <font>
      <sz val="8"/>
      <name val="Courier"/>
    </font>
    <font>
      <sz val="9"/>
      <name val="Courier"/>
    </font>
    <font>
      <sz val="12"/>
      <name val="Verdana"/>
      <family val="2"/>
    </font>
    <font>
      <sz val="8"/>
      <color indexed="22"/>
      <name val="Verdana"/>
      <family val="2"/>
    </font>
    <font>
      <i/>
      <sz val="10"/>
      <name val="Verdana"/>
      <family val="2"/>
    </font>
    <font>
      <b/>
      <sz val="11"/>
      <color indexed="9"/>
      <name val="Verdana"/>
      <family val="2"/>
    </font>
    <font>
      <sz val="11"/>
      <name val="Verdana"/>
      <family val="2"/>
    </font>
    <font>
      <sz val="11"/>
      <name val="Arial"/>
      <family val="2"/>
      <charset val="238"/>
    </font>
    <font>
      <b/>
      <sz val="9"/>
      <color indexed="9"/>
      <name val="Arial"/>
      <family val="2"/>
    </font>
    <font>
      <b/>
      <sz val="8"/>
      <color indexed="9"/>
      <name val="Verdana"/>
      <family val="2"/>
    </font>
    <font>
      <u/>
      <sz val="8"/>
      <color indexed="12"/>
      <name val="Arial"/>
      <family val="2"/>
      <charset val="238"/>
    </font>
    <font>
      <sz val="9"/>
      <name val="Courier New CE"/>
      <family val="3"/>
      <charset val="238"/>
    </font>
    <font>
      <b/>
      <sz val="10"/>
      <name val="Arial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sz val="9"/>
      <color indexed="21"/>
      <name val="Verdana"/>
      <family val="2"/>
    </font>
    <font>
      <b/>
      <u/>
      <sz val="10"/>
      <color indexed="10"/>
      <name val="Arial"/>
      <family val="2"/>
    </font>
    <font>
      <b/>
      <u/>
      <sz val="10"/>
      <color indexed="21"/>
      <name val="Arial"/>
      <family val="2"/>
    </font>
    <font>
      <b/>
      <sz val="10"/>
      <name val="Arial CE"/>
      <family val="2"/>
      <charset val="238"/>
    </font>
    <font>
      <b/>
      <sz val="9"/>
      <color indexed="12"/>
      <name val="Verdana"/>
      <family val="2"/>
    </font>
    <font>
      <u/>
      <sz val="9"/>
      <color indexed="53"/>
      <name val="Verdana"/>
      <family val="2"/>
    </font>
    <font>
      <u/>
      <sz val="16"/>
      <color indexed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 style="thick">
        <color indexed="21"/>
      </left>
      <right style="thin">
        <color indexed="64"/>
      </right>
      <top style="thick">
        <color indexed="21"/>
      </top>
      <bottom style="thick">
        <color indexed="21"/>
      </bottom>
      <diagonal/>
    </border>
    <border>
      <left style="thin">
        <color indexed="64"/>
      </left>
      <right style="thin">
        <color indexed="64"/>
      </right>
      <top style="thick">
        <color indexed="21"/>
      </top>
      <bottom style="thick">
        <color indexed="21"/>
      </bottom>
      <diagonal/>
    </border>
    <border>
      <left style="thin">
        <color indexed="64"/>
      </left>
      <right style="thick">
        <color indexed="21"/>
      </right>
      <top style="thick">
        <color indexed="21"/>
      </top>
      <bottom style="thick">
        <color indexed="21"/>
      </bottom>
      <diagonal/>
    </border>
  </borders>
  <cellStyleXfs count="19">
    <xf numFmtId="0" fontId="0" fillId="0" borderId="0"/>
    <xf numFmtId="176" fontId="1" fillId="0" borderId="0" applyFont="0" applyFill="0" applyBorder="0" applyAlignment="0" applyProtection="0"/>
    <xf numFmtId="200" fontId="24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7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4" fillId="0" borderId="0"/>
    <xf numFmtId="0" fontId="13" fillId="0" borderId="0"/>
    <xf numFmtId="0" fontId="1" fillId="0" borderId="0"/>
    <xf numFmtId="0" fontId="20" fillId="0" borderId="0"/>
    <xf numFmtId="0" fontId="24" fillId="0" borderId="0"/>
    <xf numFmtId="0" fontId="14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74" fontId="3" fillId="2" borderId="1" xfId="0" applyNumberFormat="1" applyFont="1" applyFill="1" applyBorder="1"/>
    <xf numFmtId="0" fontId="3" fillId="3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0" fontId="13" fillId="0" borderId="0" xfId="15"/>
    <xf numFmtId="0" fontId="13" fillId="0" borderId="2" xfId="15" applyBorder="1"/>
    <xf numFmtId="0" fontId="13" fillId="0" borderId="3" xfId="15" applyBorder="1"/>
    <xf numFmtId="0" fontId="13" fillId="0" borderId="4" xfId="15" applyBorder="1"/>
    <xf numFmtId="0" fontId="13" fillId="0" borderId="5" xfId="15" applyBorder="1"/>
    <xf numFmtId="0" fontId="10" fillId="0" borderId="6" xfId="15" applyFont="1" applyBorder="1"/>
    <xf numFmtId="0" fontId="13" fillId="0" borderId="0" xfId="15" applyBorder="1"/>
    <xf numFmtId="0" fontId="13" fillId="0" borderId="7" xfId="15" applyBorder="1"/>
    <xf numFmtId="175" fontId="11" fillId="5" borderId="0" xfId="15" applyNumberFormat="1" applyFont="1" applyFill="1" applyBorder="1" applyAlignment="1">
      <alignment horizontal="center"/>
    </xf>
    <xf numFmtId="0" fontId="11" fillId="5" borderId="0" xfId="15" applyFont="1" applyFill="1" applyBorder="1" applyAlignment="1">
      <alignment horizontal="center"/>
    </xf>
    <xf numFmtId="0" fontId="3" fillId="6" borderId="1" xfId="15" applyFont="1" applyFill="1" applyBorder="1"/>
    <xf numFmtId="0" fontId="3" fillId="2" borderId="1" xfId="15" applyFont="1" applyFill="1" applyBorder="1"/>
    <xf numFmtId="0" fontId="3" fillId="2" borderId="1" xfId="1" applyNumberFormat="1" applyFont="1" applyFill="1" applyBorder="1"/>
    <xf numFmtId="0" fontId="13" fillId="0" borderId="8" xfId="15" applyBorder="1"/>
    <xf numFmtId="0" fontId="13" fillId="0" borderId="9" xfId="15" applyBorder="1"/>
    <xf numFmtId="0" fontId="13" fillId="0" borderId="10" xfId="15" applyBorder="1"/>
    <xf numFmtId="0" fontId="4" fillId="4" borderId="1" xfId="0" applyFont="1" applyFill="1" applyBorder="1"/>
    <xf numFmtId="0" fontId="6" fillId="0" borderId="0" xfId="0" applyFont="1" applyBorder="1" applyAlignment="1">
      <alignment horizontal="left"/>
    </xf>
    <xf numFmtId="0" fontId="15" fillId="0" borderId="0" xfId="0" applyFon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11" fillId="4" borderId="16" xfId="0" applyFont="1" applyFill="1" applyBorder="1"/>
    <xf numFmtId="0" fontId="11" fillId="4" borderId="17" xfId="0" applyFont="1" applyFill="1" applyBorder="1"/>
    <xf numFmtId="0" fontId="11" fillId="4" borderId="18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13" fillId="0" borderId="0" xfId="16"/>
    <xf numFmtId="0" fontId="7" fillId="0" borderId="0" xfId="16" applyFont="1"/>
    <xf numFmtId="0" fontId="7" fillId="2" borderId="1" xfId="16" applyFont="1" applyFill="1" applyBorder="1"/>
    <xf numFmtId="0" fontId="17" fillId="2" borderId="1" xfId="16" applyFont="1" applyFill="1" applyBorder="1"/>
    <xf numFmtId="0" fontId="12" fillId="0" borderId="0" xfId="4" applyAlignment="1" applyProtection="1"/>
    <xf numFmtId="0" fontId="18" fillId="0" borderId="0" xfId="0" applyFont="1"/>
    <xf numFmtId="0" fontId="21" fillId="0" borderId="0" xfId="16" applyFont="1"/>
    <xf numFmtId="0" fontId="21" fillId="0" borderId="2" xfId="16" applyFont="1" applyBorder="1"/>
    <xf numFmtId="0" fontId="21" fillId="0" borderId="3" xfId="16" applyFont="1" applyBorder="1"/>
    <xf numFmtId="0" fontId="21" fillId="0" borderId="4" xfId="16" applyFont="1" applyBorder="1"/>
    <xf numFmtId="0" fontId="21" fillId="0" borderId="5" xfId="16" applyFont="1" applyBorder="1"/>
    <xf numFmtId="0" fontId="22" fillId="2" borderId="6" xfId="16" applyFont="1" applyFill="1" applyBorder="1"/>
    <xf numFmtId="0" fontId="21" fillId="0" borderId="0" xfId="16" applyFont="1" applyBorder="1"/>
    <xf numFmtId="0" fontId="21" fillId="0" borderId="7" xfId="16" applyFont="1" applyBorder="1"/>
    <xf numFmtId="0" fontId="22" fillId="0" borderId="6" xfId="16" applyFont="1" applyBorder="1"/>
    <xf numFmtId="0" fontId="21" fillId="6" borderId="1" xfId="16" applyFont="1" applyFill="1" applyBorder="1"/>
    <xf numFmtId="0" fontId="21" fillId="2" borderId="1" xfId="16" applyFont="1" applyFill="1" applyBorder="1"/>
    <xf numFmtId="0" fontId="21" fillId="2" borderId="1" xfId="1" applyNumberFormat="1" applyFont="1" applyFill="1" applyBorder="1"/>
    <xf numFmtId="0" fontId="21" fillId="0" borderId="8" xfId="16" applyFont="1" applyBorder="1"/>
    <xf numFmtId="0" fontId="21" fillId="0" borderId="9" xfId="16" applyFont="1" applyBorder="1"/>
    <xf numFmtId="0" fontId="21" fillId="0" borderId="10" xfId="16" applyFont="1" applyBorder="1"/>
    <xf numFmtId="0" fontId="23" fillId="0" borderId="3" xfId="16" applyFont="1" applyBorder="1"/>
    <xf numFmtId="0" fontId="13" fillId="0" borderId="0" xfId="16" applyNumberFormat="1"/>
    <xf numFmtId="0" fontId="14" fillId="0" borderId="0" xfId="16" applyNumberFormat="1" applyFont="1"/>
    <xf numFmtId="0" fontId="14" fillId="0" borderId="0" xfId="16" applyFont="1"/>
    <xf numFmtId="0" fontId="4" fillId="0" borderId="0" xfId="11" applyFont="1"/>
    <xf numFmtId="0" fontId="3" fillId="0" borderId="0" xfId="11" applyFont="1"/>
    <xf numFmtId="0" fontId="25" fillId="0" borderId="0" xfId="11" applyFont="1"/>
    <xf numFmtId="0" fontId="6" fillId="0" borderId="0" xfId="11" applyFont="1"/>
    <xf numFmtId="0" fontId="3" fillId="2" borderId="1" xfId="11" applyFont="1" applyFill="1" applyBorder="1"/>
    <xf numFmtId="9" fontId="3" fillId="3" borderId="1" xfId="18" applyFont="1" applyFill="1" applyBorder="1"/>
    <xf numFmtId="0" fontId="16" fillId="5" borderId="0" xfId="11" applyFont="1" applyFill="1" applyBorder="1"/>
    <xf numFmtId="0" fontId="19" fillId="5" borderId="2" xfId="7" applyFont="1" applyFill="1" applyBorder="1"/>
    <xf numFmtId="0" fontId="17" fillId="5" borderId="3" xfId="7" applyFont="1" applyFill="1" applyBorder="1"/>
    <xf numFmtId="0" fontId="7" fillId="5" borderId="3" xfId="7" applyFont="1" applyFill="1" applyBorder="1"/>
    <xf numFmtId="14" fontId="17" fillId="5" borderId="3" xfId="7" applyNumberFormat="1" applyFont="1" applyFill="1" applyBorder="1"/>
    <xf numFmtId="0" fontId="7" fillId="5" borderId="4" xfId="7" applyFont="1" applyFill="1" applyBorder="1"/>
    <xf numFmtId="0" fontId="7" fillId="0" borderId="0" xfId="7" applyFont="1"/>
    <xf numFmtId="0" fontId="10" fillId="0" borderId="0" xfId="7" applyFont="1"/>
    <xf numFmtId="0" fontId="18" fillId="0" borderId="0" xfId="7" applyFont="1"/>
    <xf numFmtId="0" fontId="19" fillId="5" borderId="5" xfId="7" applyFont="1" applyFill="1" applyBorder="1"/>
    <xf numFmtId="0" fontId="17" fillId="5" borderId="0" xfId="7" applyFont="1" applyFill="1" applyBorder="1"/>
    <xf numFmtId="0" fontId="7" fillId="5" borderId="0" xfId="7" applyFont="1" applyFill="1" applyBorder="1"/>
    <xf numFmtId="14" fontId="17" fillId="5" borderId="0" xfId="7" applyNumberFormat="1" applyFont="1" applyFill="1" applyBorder="1"/>
    <xf numFmtId="0" fontId="7" fillId="5" borderId="7" xfId="7" applyFont="1" applyFill="1" applyBorder="1"/>
    <xf numFmtId="0" fontId="15" fillId="0" borderId="0" xfId="7" applyFont="1"/>
    <xf numFmtId="0" fontId="7" fillId="2" borderId="1" xfId="7" applyFont="1" applyFill="1" applyBorder="1"/>
    <xf numFmtId="200" fontId="7" fillId="2" borderId="1" xfId="2" applyFont="1" applyFill="1" applyBorder="1"/>
    <xf numFmtId="0" fontId="7" fillId="5" borderId="5" xfId="7" applyFont="1" applyFill="1" applyBorder="1"/>
    <xf numFmtId="0" fontId="17" fillId="2" borderId="20" xfId="7" applyFont="1" applyFill="1" applyBorder="1"/>
    <xf numFmtId="0" fontId="17" fillId="2" borderId="1" xfId="7" applyFont="1" applyFill="1" applyBorder="1"/>
    <xf numFmtId="0" fontId="17" fillId="2" borderId="1" xfId="7" applyFont="1" applyFill="1" applyBorder="1" applyAlignment="1">
      <alignment horizontal="right"/>
    </xf>
    <xf numFmtId="0" fontId="26" fillId="0" borderId="0" xfId="7" applyFont="1"/>
    <xf numFmtId="0" fontId="7" fillId="2" borderId="20" xfId="7" applyFont="1" applyFill="1" applyBorder="1"/>
    <xf numFmtId="0" fontId="7" fillId="3" borderId="1" xfId="7" applyFont="1" applyFill="1" applyBorder="1"/>
    <xf numFmtId="200" fontId="7" fillId="3" borderId="1" xfId="2" applyFont="1" applyFill="1" applyBorder="1"/>
    <xf numFmtId="0" fontId="13" fillId="0" borderId="0" xfId="13"/>
    <xf numFmtId="0" fontId="18" fillId="5" borderId="5" xfId="7" applyFont="1" applyFill="1" applyBorder="1"/>
    <xf numFmtId="0" fontId="18" fillId="5" borderId="0" xfId="7" applyFont="1" applyFill="1" applyBorder="1"/>
    <xf numFmtId="0" fontId="17" fillId="5" borderId="5" xfId="7" applyFont="1" applyFill="1" applyBorder="1"/>
    <xf numFmtId="9" fontId="7" fillId="2" borderId="1" xfId="7" applyNumberFormat="1" applyFont="1" applyFill="1" applyBorder="1"/>
    <xf numFmtId="0" fontId="7" fillId="0" borderId="0" xfId="7" applyFont="1" applyBorder="1"/>
    <xf numFmtId="198" fontId="7" fillId="5" borderId="5" xfId="7" applyNumberFormat="1" applyFont="1" applyFill="1" applyBorder="1"/>
    <xf numFmtId="198" fontId="7" fillId="0" borderId="0" xfId="7" applyNumberFormat="1" applyFont="1" applyBorder="1"/>
    <xf numFmtId="0" fontId="7" fillId="0" borderId="7" xfId="7" applyFont="1" applyBorder="1"/>
    <xf numFmtId="0" fontId="7" fillId="0" borderId="5" xfId="7" applyFont="1" applyBorder="1"/>
    <xf numFmtId="9" fontId="17" fillId="0" borderId="1" xfId="18" applyFont="1" applyBorder="1"/>
    <xf numFmtId="0" fontId="7" fillId="0" borderId="8" xfId="7" applyFont="1" applyBorder="1"/>
    <xf numFmtId="0" fontId="7" fillId="0" borderId="9" xfId="7" applyFont="1" applyBorder="1"/>
    <xf numFmtId="0" fontId="7" fillId="0" borderId="10" xfId="7" applyFont="1" applyBorder="1"/>
    <xf numFmtId="0" fontId="15" fillId="0" borderId="0" xfId="11" applyFont="1"/>
    <xf numFmtId="0" fontId="7" fillId="0" borderId="0" xfId="0" applyFont="1"/>
    <xf numFmtId="0" fontId="12" fillId="0" borderId="0" xfId="4" applyNumberFormat="1" applyAlignment="1" applyProtection="1"/>
    <xf numFmtId="0" fontId="7" fillId="0" borderId="0" xfId="16" applyNumberFormat="1" applyFont="1"/>
    <xf numFmtId="0" fontId="28" fillId="0" borderId="0" xfId="0" applyFont="1"/>
    <xf numFmtId="0" fontId="18" fillId="2" borderId="1" xfId="0" applyFont="1" applyFill="1" applyBorder="1"/>
    <xf numFmtId="0" fontId="18" fillId="3" borderId="1" xfId="0" applyFont="1" applyFill="1" applyBorder="1"/>
    <xf numFmtId="0" fontId="11" fillId="0" borderId="0" xfId="9" applyFont="1" applyAlignment="1">
      <alignment horizontal="right"/>
    </xf>
    <xf numFmtId="0" fontId="3" fillId="2" borderId="1" xfId="9" applyFont="1" applyFill="1" applyBorder="1"/>
    <xf numFmtId="0" fontId="3" fillId="0" borderId="0" xfId="9" applyFont="1"/>
    <xf numFmtId="0" fontId="11" fillId="0" borderId="0" xfId="9" applyFont="1"/>
    <xf numFmtId="0" fontId="3" fillId="0" borderId="0" xfId="9" applyFont="1" applyBorder="1"/>
    <xf numFmtId="0" fontId="15" fillId="0" borderId="0" xfId="9" applyFont="1" applyBorder="1"/>
    <xf numFmtId="190" fontId="2" fillId="2" borderId="19" xfId="9" applyNumberFormat="1" applyFont="1" applyFill="1" applyBorder="1"/>
    <xf numFmtId="190" fontId="2" fillId="2" borderId="11" xfId="9" applyNumberFormat="1" applyFont="1" applyFill="1" applyBorder="1"/>
    <xf numFmtId="190" fontId="2" fillId="2" borderId="12" xfId="9" applyNumberFormat="1" applyFont="1" applyFill="1" applyBorder="1"/>
    <xf numFmtId="190" fontId="2" fillId="2" borderId="20" xfId="9" applyNumberFormat="1" applyFont="1" applyFill="1" applyBorder="1"/>
    <xf numFmtId="190" fontId="2" fillId="2" borderId="1" xfId="9" applyNumberFormat="1" applyFont="1" applyFill="1" applyBorder="1"/>
    <xf numFmtId="190" fontId="2" fillId="2" borderId="13" xfId="9" applyNumberFormat="1" applyFont="1" applyFill="1" applyBorder="1"/>
    <xf numFmtId="190" fontId="2" fillId="2" borderId="21" xfId="9" applyNumberFormat="1" applyFont="1" applyFill="1" applyBorder="1"/>
    <xf numFmtId="190" fontId="2" fillId="2" borderId="14" xfId="9" applyNumberFormat="1" applyFont="1" applyFill="1" applyBorder="1"/>
    <xf numFmtId="190" fontId="2" fillId="2" borderId="15" xfId="9" applyNumberFormat="1" applyFont="1" applyFill="1" applyBorder="1"/>
    <xf numFmtId="0" fontId="3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3" fillId="0" borderId="0" xfId="15" applyNumberFormat="1"/>
    <xf numFmtId="0" fontId="14" fillId="0" borderId="0" xfId="15" applyNumberFormat="1" applyFont="1"/>
    <xf numFmtId="0" fontId="25" fillId="0" borderId="0" xfId="11" applyNumberFormat="1" applyFont="1"/>
    <xf numFmtId="0" fontId="3" fillId="0" borderId="0" xfId="11" applyNumberFormat="1" applyFont="1"/>
    <xf numFmtId="0" fontId="18" fillId="0" borderId="0" xfId="0" applyNumberFormat="1" applyFont="1"/>
    <xf numFmtId="0" fontId="7" fillId="0" borderId="0" xfId="0" applyNumberFormat="1" applyFont="1"/>
    <xf numFmtId="190" fontId="3" fillId="7" borderId="25" xfId="9" applyNumberFormat="1" applyFont="1" applyFill="1" applyBorder="1"/>
    <xf numFmtId="0" fontId="3" fillId="0" borderId="0" xfId="9" applyNumberFormat="1" applyFont="1"/>
    <xf numFmtId="0" fontId="7" fillId="0" borderId="0" xfId="9" applyNumberFormat="1" applyFont="1"/>
    <xf numFmtId="0" fontId="7" fillId="0" borderId="0" xfId="9" applyFont="1"/>
    <xf numFmtId="0" fontId="3" fillId="0" borderId="0" xfId="0" applyNumberFormat="1" applyFont="1"/>
    <xf numFmtId="175" fontId="23" fillId="5" borderId="0" xfId="16" applyNumberFormat="1" applyFont="1" applyFill="1" applyBorder="1" applyAlignment="1">
      <alignment horizontal="center"/>
    </xf>
    <xf numFmtId="0" fontId="23" fillId="5" borderId="0" xfId="16" applyFont="1" applyFill="1" applyBorder="1" applyAlignment="1">
      <alignment horizontal="center"/>
    </xf>
    <xf numFmtId="0" fontId="21" fillId="0" borderId="0" xfId="16" applyNumberFormat="1" applyFont="1"/>
    <xf numFmtId="0" fontId="7" fillId="0" borderId="0" xfId="7" applyNumberFormat="1" applyFont="1"/>
    <xf numFmtId="0" fontId="0" fillId="0" borderId="0" xfId="0" applyNumberFormat="1"/>
    <xf numFmtId="0" fontId="21" fillId="4" borderId="1" xfId="16" applyFont="1" applyFill="1" applyBorder="1"/>
    <xf numFmtId="0" fontId="3" fillId="0" borderId="0" xfId="12" applyFont="1"/>
    <xf numFmtId="0" fontId="3" fillId="3" borderId="1" xfId="12" applyFont="1" applyFill="1" applyBorder="1"/>
    <xf numFmtId="0" fontId="11" fillId="0" borderId="0" xfId="0" applyFont="1"/>
    <xf numFmtId="0" fontId="3" fillId="4" borderId="22" xfId="0" applyFont="1" applyFill="1" applyBorder="1"/>
    <xf numFmtId="0" fontId="3" fillId="2" borderId="22" xfId="0" applyFont="1" applyFill="1" applyBorder="1"/>
    <xf numFmtId="0" fontId="11" fillId="0" borderId="0" xfId="0" applyFont="1" applyAlignment="1">
      <alignment horizontal="right"/>
    </xf>
    <xf numFmtId="0" fontId="3" fillId="4" borderId="23" xfId="0" applyFont="1" applyFill="1" applyBorder="1"/>
    <xf numFmtId="0" fontId="3" fillId="2" borderId="23" xfId="0" applyFont="1" applyFill="1" applyBorder="1"/>
    <xf numFmtId="0" fontId="3" fillId="4" borderId="24" xfId="0" applyFont="1" applyFill="1" applyBorder="1"/>
    <xf numFmtId="0" fontId="3" fillId="2" borderId="24" xfId="0" applyFont="1" applyFill="1" applyBorder="1"/>
    <xf numFmtId="0" fontId="15" fillId="0" borderId="0" xfId="0" applyFont="1" applyBorder="1"/>
    <xf numFmtId="0" fontId="3" fillId="2" borderId="25" xfId="0" applyFont="1" applyFill="1" applyBorder="1"/>
    <xf numFmtId="0" fontId="3" fillId="0" borderId="0" xfId="0" applyFont="1" applyAlignment="1">
      <alignment horizontal="right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11" fillId="6" borderId="19" xfId="0" applyFont="1" applyFill="1" applyBorder="1"/>
    <xf numFmtId="0" fontId="11" fillId="6" borderId="20" xfId="0" applyFont="1" applyFill="1" applyBorder="1"/>
    <xf numFmtId="0" fontId="3" fillId="3" borderId="25" xfId="0" applyFont="1" applyFill="1" applyBorder="1"/>
    <xf numFmtId="0" fontId="11" fillId="6" borderId="21" xfId="0" applyFont="1" applyFill="1" applyBorder="1"/>
    <xf numFmtId="0" fontId="3" fillId="5" borderId="0" xfId="0" applyFont="1" applyFill="1" applyBorder="1"/>
    <xf numFmtId="0" fontId="3" fillId="4" borderId="26" xfId="0" applyFont="1" applyFill="1" applyBorder="1"/>
    <xf numFmtId="0" fontId="11" fillId="5" borderId="0" xfId="0" applyFont="1" applyFill="1" applyBorder="1" applyAlignment="1">
      <alignment horizontal="right"/>
    </xf>
    <xf numFmtId="0" fontId="4" fillId="6" borderId="19" xfId="0" applyFont="1" applyFill="1" applyBorder="1"/>
    <xf numFmtId="0" fontId="4" fillId="6" borderId="20" xfId="0" applyFont="1" applyFill="1" applyBorder="1"/>
    <xf numFmtId="0" fontId="4" fillId="6" borderId="21" xfId="0" applyFont="1" applyFill="1" applyBorder="1"/>
    <xf numFmtId="0" fontId="10" fillId="2" borderId="25" xfId="15" applyFont="1" applyFill="1" applyBorder="1"/>
    <xf numFmtId="0" fontId="11" fillId="4" borderId="1" xfId="0" applyFont="1" applyFill="1" applyBorder="1"/>
    <xf numFmtId="0" fontId="11" fillId="0" borderId="0" xfId="0" applyFont="1" applyBorder="1"/>
    <xf numFmtId="0" fontId="6" fillId="0" borderId="0" xfId="0" applyFont="1"/>
    <xf numFmtId="0" fontId="11" fillId="5" borderId="0" xfId="12" applyFont="1" applyFill="1"/>
    <xf numFmtId="0" fontId="6" fillId="5" borderId="0" xfId="12" applyFont="1" applyFill="1" applyBorder="1"/>
    <xf numFmtId="14" fontId="3" fillId="2" borderId="1" xfId="0" applyNumberFormat="1" applyFont="1" applyFill="1" applyBorder="1"/>
    <xf numFmtId="1" fontId="3" fillId="3" borderId="1" xfId="3" applyNumberFormat="1" applyFont="1" applyFill="1" applyBorder="1"/>
    <xf numFmtId="0" fontId="11" fillId="5" borderId="0" xfId="0" applyFont="1" applyFill="1" applyBorder="1"/>
    <xf numFmtId="0" fontId="3" fillId="4" borderId="1" xfId="12" applyFont="1" applyFill="1" applyBorder="1"/>
    <xf numFmtId="0" fontId="29" fillId="8" borderId="27" xfId="0" applyFont="1" applyFill="1" applyBorder="1"/>
    <xf numFmtId="0" fontId="30" fillId="8" borderId="28" xfId="0" applyFont="1" applyFill="1" applyBorder="1"/>
    <xf numFmtId="0" fontId="31" fillId="8" borderId="28" xfId="0" applyFont="1" applyFill="1" applyBorder="1"/>
    <xf numFmtId="0" fontId="13" fillId="0" borderId="0" xfId="8"/>
    <xf numFmtId="0" fontId="29" fillId="9" borderId="1" xfId="8" applyFont="1" applyFill="1" applyBorder="1"/>
    <xf numFmtId="0" fontId="14" fillId="0" borderId="0" xfId="8" applyNumberFormat="1" applyFont="1"/>
    <xf numFmtId="0" fontId="14" fillId="0" borderId="0" xfId="8" applyFont="1"/>
    <xf numFmtId="0" fontId="16" fillId="0" borderId="0" xfId="14" applyFont="1"/>
    <xf numFmtId="0" fontId="7" fillId="0" borderId="0" xfId="14" applyFont="1"/>
    <xf numFmtId="0" fontId="15" fillId="0" borderId="0" xfId="14" applyFont="1"/>
    <xf numFmtId="0" fontId="17" fillId="6" borderId="26" xfId="14" applyFont="1" applyFill="1" applyBorder="1"/>
    <xf numFmtId="190" fontId="7" fillId="3" borderId="25" xfId="14" applyNumberFormat="1" applyFont="1" applyFill="1" applyBorder="1"/>
    <xf numFmtId="0" fontId="17" fillId="2" borderId="19" xfId="14" applyFont="1" applyFill="1" applyBorder="1"/>
    <xf numFmtId="190" fontId="7" fillId="2" borderId="11" xfId="6" applyNumberFormat="1" applyFont="1" applyFill="1" applyBorder="1"/>
    <xf numFmtId="190" fontId="7" fillId="2" borderId="12" xfId="6" applyNumberFormat="1" applyFont="1" applyFill="1" applyBorder="1"/>
    <xf numFmtId="0" fontId="17" fillId="2" borderId="20" xfId="14" applyFont="1" applyFill="1" applyBorder="1"/>
    <xf numFmtId="190" fontId="7" fillId="2" borderId="1" xfId="6" applyNumberFormat="1" applyFont="1" applyFill="1" applyBorder="1"/>
    <xf numFmtId="190" fontId="7" fillId="2" borderId="13" xfId="6" applyNumberFormat="1" applyFont="1" applyFill="1" applyBorder="1"/>
    <xf numFmtId="0" fontId="17" fillId="2" borderId="21" xfId="14" applyFont="1" applyFill="1" applyBorder="1"/>
    <xf numFmtId="190" fontId="7" fillId="2" borderId="14" xfId="6" applyNumberFormat="1" applyFont="1" applyFill="1" applyBorder="1"/>
    <xf numFmtId="190" fontId="7" fillId="2" borderId="15" xfId="6" applyNumberFormat="1" applyFont="1" applyFill="1" applyBorder="1"/>
    <xf numFmtId="0" fontId="7" fillId="0" borderId="0" xfId="14" applyFont="1" applyAlignment="1">
      <alignment textRotation="90"/>
    </xf>
    <xf numFmtId="0" fontId="3" fillId="3" borderId="1" xfId="11" applyFont="1" applyFill="1" applyBorder="1"/>
    <xf numFmtId="0" fontId="3" fillId="6" borderId="1" xfId="11" applyFont="1" applyFill="1" applyBorder="1"/>
    <xf numFmtId="0" fontId="3" fillId="6" borderId="1" xfId="0" applyFont="1" applyFill="1" applyBorder="1"/>
    <xf numFmtId="0" fontId="3" fillId="6" borderId="16" xfId="0" applyFont="1" applyFill="1" applyBorder="1"/>
    <xf numFmtId="0" fontId="3" fillId="6" borderId="17" xfId="0" applyFont="1" applyFill="1" applyBorder="1"/>
    <xf numFmtId="0" fontId="3" fillId="6" borderId="18" xfId="0" applyFont="1" applyFill="1" applyBorder="1"/>
    <xf numFmtId="0" fontId="3" fillId="6" borderId="23" xfId="0" applyFont="1" applyFill="1" applyBorder="1"/>
    <xf numFmtId="0" fontId="3" fillId="6" borderId="24" xfId="0" applyFont="1" applyFill="1" applyBorder="1"/>
    <xf numFmtId="0" fontId="7" fillId="4" borderId="1" xfId="7" applyFont="1" applyFill="1" applyBorder="1"/>
    <xf numFmtId="0" fontId="3" fillId="6" borderId="22" xfId="0" quotePrefix="1" applyFont="1" applyFill="1" applyBorder="1"/>
    <xf numFmtId="0" fontId="3" fillId="6" borderId="23" xfId="0" quotePrefix="1" applyFont="1" applyFill="1" applyBorder="1"/>
    <xf numFmtId="0" fontId="21" fillId="0" borderId="0" xfId="8" applyFont="1"/>
    <xf numFmtId="0" fontId="21" fillId="2" borderId="1" xfId="8" applyFont="1" applyFill="1" applyBorder="1"/>
    <xf numFmtId="0" fontId="21" fillId="3" borderId="1" xfId="8" applyFont="1" applyFill="1" applyBorder="1"/>
    <xf numFmtId="0" fontId="21" fillId="0" borderId="0" xfId="8" quotePrefix="1" applyFont="1"/>
    <xf numFmtId="0" fontId="32" fillId="9" borderId="0" xfId="8" applyFont="1" applyFill="1" applyBorder="1" applyAlignment="1">
      <alignment horizontal="left" vertical="center"/>
    </xf>
    <xf numFmtId="0" fontId="33" fillId="9" borderId="0" xfId="8" applyFont="1" applyFill="1" applyBorder="1" applyAlignment="1">
      <alignment horizontal="left" vertical="center"/>
    </xf>
    <xf numFmtId="0" fontId="17" fillId="6" borderId="1" xfId="8" applyFont="1" applyFill="1" applyBorder="1" applyAlignment="1">
      <alignment horizontal="center" vertical="center"/>
    </xf>
    <xf numFmtId="3" fontId="17" fillId="6" borderId="1" xfId="8" applyNumberFormat="1" applyFont="1" applyFill="1" applyBorder="1" applyAlignment="1">
      <alignment horizontal="center" vertical="center"/>
    </xf>
    <xf numFmtId="0" fontId="16" fillId="0" borderId="0" xfId="8" applyFont="1"/>
    <xf numFmtId="208" fontId="7" fillId="2" borderId="1" xfId="8" applyNumberFormat="1" applyFont="1" applyFill="1" applyBorder="1" applyAlignment="1">
      <alignment vertical="center"/>
    </xf>
    <xf numFmtId="0" fontId="21" fillId="0" borderId="0" xfId="8" applyNumberFormat="1" applyFont="1"/>
    <xf numFmtId="0" fontId="34" fillId="0" borderId="0" xfId="4" applyFont="1" applyAlignment="1" applyProtection="1"/>
    <xf numFmtId="0" fontId="20" fillId="0" borderId="0" xfId="0" applyFont="1"/>
    <xf numFmtId="0" fontId="7" fillId="0" borderId="0" xfId="10" applyFont="1"/>
    <xf numFmtId="0" fontId="20" fillId="0" borderId="0" xfId="10"/>
    <xf numFmtId="0" fontId="15" fillId="0" borderId="0" xfId="10" applyFont="1"/>
    <xf numFmtId="0" fontId="7" fillId="2" borderId="1" xfId="10" applyFont="1" applyFill="1" applyBorder="1"/>
    <xf numFmtId="0" fontId="7" fillId="4" borderId="1" xfId="10" applyFont="1" applyFill="1" applyBorder="1"/>
    <xf numFmtId="0" fontId="7" fillId="0" borderId="0" xfId="10" applyNumberFormat="1" applyFont="1"/>
    <xf numFmtId="0" fontId="16" fillId="0" borderId="0" xfId="10" applyNumberFormat="1" applyFont="1"/>
    <xf numFmtId="0" fontId="7" fillId="6" borderId="1" xfId="10" applyFont="1" applyFill="1" applyBorder="1"/>
    <xf numFmtId="0" fontId="13" fillId="0" borderId="0" xfId="17"/>
    <xf numFmtId="0" fontId="35" fillId="2" borderId="1" xfId="11" applyFont="1" applyFill="1" applyBorder="1"/>
    <xf numFmtId="0" fontId="38" fillId="2" borderId="1" xfId="11" applyFont="1" applyFill="1" applyBorder="1"/>
    <xf numFmtId="0" fontId="35" fillId="2" borderId="29" xfId="11" applyFont="1" applyFill="1" applyBorder="1"/>
    <xf numFmtId="0" fontId="35" fillId="2" borderId="30" xfId="11" applyFont="1" applyFill="1" applyBorder="1"/>
    <xf numFmtId="0" fontId="37" fillId="2" borderId="31" xfId="11" applyFont="1" applyFill="1" applyBorder="1"/>
    <xf numFmtId="0" fontId="37" fillId="2" borderId="32" xfId="11" applyFont="1" applyFill="1" applyBorder="1"/>
    <xf numFmtId="0" fontId="37" fillId="2" borderId="33" xfId="11" applyFont="1" applyFill="1" applyBorder="1"/>
    <xf numFmtId="0" fontId="39" fillId="2" borderId="34" xfId="11" applyFont="1" applyFill="1" applyBorder="1"/>
    <xf numFmtId="9" fontId="39" fillId="2" borderId="35" xfId="11" applyNumberFormat="1" applyFont="1" applyFill="1" applyBorder="1"/>
    <xf numFmtId="9" fontId="39" fillId="2" borderId="36" xfId="11" applyNumberFormat="1" applyFont="1" applyFill="1" applyBorder="1"/>
    <xf numFmtId="0" fontId="36" fillId="0" borderId="0" xfId="0" applyFont="1"/>
    <xf numFmtId="0" fontId="16" fillId="0" borderId="0" xfId="11" applyFont="1"/>
    <xf numFmtId="0" fontId="32" fillId="0" borderId="0" xfId="8" applyFont="1" applyFill="1" applyBorder="1" applyAlignment="1">
      <alignment horizontal="center" vertical="center"/>
    </xf>
    <xf numFmtId="0" fontId="3" fillId="0" borderId="0" xfId="0" quotePrefix="1" applyNumberFormat="1" applyFont="1"/>
    <xf numFmtId="0" fontId="8" fillId="0" borderId="0" xfId="0" applyNumberFormat="1" applyFont="1"/>
    <xf numFmtId="0" fontId="38" fillId="0" borderId="0" xfId="0" applyFont="1"/>
    <xf numFmtId="214" fontId="3" fillId="2" borderId="1" xfId="5" applyNumberFormat="1" applyFont="1" applyFill="1" applyBorder="1"/>
    <xf numFmtId="0" fontId="21" fillId="0" borderId="0" xfId="16" quotePrefix="1" applyNumberFormat="1" applyFont="1"/>
    <xf numFmtId="0" fontId="42" fillId="0" borderId="0" xfId="11" applyFont="1"/>
    <xf numFmtId="0" fontId="37" fillId="2" borderId="1" xfId="0" applyFont="1" applyFill="1" applyBorder="1" applyAlignment="1">
      <alignment horizontal="center"/>
    </xf>
    <xf numFmtId="0" fontId="4" fillId="2" borderId="37" xfId="0" applyFont="1" applyFill="1" applyBorder="1"/>
    <xf numFmtId="0" fontId="4" fillId="2" borderId="38" xfId="0" applyFont="1" applyFill="1" applyBorder="1"/>
    <xf numFmtId="0" fontId="3" fillId="2" borderId="39" xfId="0" applyFont="1" applyFill="1" applyBorder="1"/>
    <xf numFmtId="0" fontId="4" fillId="2" borderId="40" xfId="0" applyFont="1" applyFill="1" applyBorder="1"/>
    <xf numFmtId="0" fontId="3" fillId="2" borderId="41" xfId="0" applyFont="1" applyFill="1" applyBorder="1"/>
    <xf numFmtId="0" fontId="3" fillId="2" borderId="42" xfId="0" applyFont="1" applyFill="1" applyBorder="1"/>
    <xf numFmtId="0" fontId="37" fillId="4" borderId="1" xfId="0" applyFont="1" applyFill="1" applyBorder="1" applyAlignment="1">
      <alignment horizontal="center"/>
    </xf>
    <xf numFmtId="0" fontId="3" fillId="2" borderId="43" xfId="0" applyFont="1" applyFill="1" applyBorder="1"/>
    <xf numFmtId="0" fontId="3" fillId="2" borderId="44" xfId="0" applyFont="1" applyFill="1" applyBorder="1"/>
    <xf numFmtId="0" fontId="11" fillId="4" borderId="45" xfId="0" applyFont="1" applyFill="1" applyBorder="1"/>
    <xf numFmtId="0" fontId="11" fillId="4" borderId="46" xfId="0" applyFont="1" applyFill="1" applyBorder="1"/>
    <xf numFmtId="0" fontId="11" fillId="4" borderId="47" xfId="0" applyFont="1" applyFill="1" applyBorder="1"/>
    <xf numFmtId="0" fontId="16" fillId="0" borderId="0" xfId="16" applyFont="1" applyAlignment="1">
      <alignment horizontal="center"/>
    </xf>
    <xf numFmtId="0" fontId="7" fillId="2" borderId="1" xfId="16" applyFont="1" applyFill="1" applyBorder="1" applyAlignment="1">
      <alignment horizontal="center"/>
    </xf>
    <xf numFmtId="0" fontId="16" fillId="0" borderId="0" xfId="16" applyNumberFormat="1" applyFont="1"/>
    <xf numFmtId="0" fontId="12" fillId="0" borderId="0" xfId="4" applyFill="1" applyBorder="1" applyAlignment="1" applyProtection="1"/>
    <xf numFmtId="8" fontId="7" fillId="2" borderId="1" xfId="2" applyNumberFormat="1" applyFont="1" applyFill="1" applyBorder="1"/>
    <xf numFmtId="8" fontId="7" fillId="3" borderId="1" xfId="2" applyNumberFormat="1" applyFont="1" applyFill="1" applyBorder="1"/>
    <xf numFmtId="215" fontId="17" fillId="5" borderId="1" xfId="2" applyNumberFormat="1" applyFont="1" applyFill="1" applyBorder="1"/>
    <xf numFmtId="215" fontId="17" fillId="0" borderId="1" xfId="7" applyNumberFormat="1" applyFont="1" applyBorder="1"/>
    <xf numFmtId="9" fontId="17" fillId="5" borderId="1" xfId="18" applyNumberFormat="1" applyFont="1" applyFill="1" applyBorder="1"/>
    <xf numFmtId="0" fontId="7" fillId="3" borderId="1" xfId="14" applyFont="1" applyFill="1" applyBorder="1" applyAlignment="1">
      <alignment horizontal="center"/>
    </xf>
    <xf numFmtId="0" fontId="44" fillId="0" borderId="0" xfId="0" applyFont="1"/>
    <xf numFmtId="0" fontId="12" fillId="0" borderId="0" xfId="4" applyAlignment="1" applyProtection="1">
      <alignment horizontal="left"/>
    </xf>
    <xf numFmtId="44" fontId="3" fillId="2" borderId="1" xfId="1" applyNumberFormat="1" applyFont="1" applyFill="1" applyBorder="1"/>
    <xf numFmtId="0" fontId="3" fillId="6" borderId="1" xfId="0" applyFont="1" applyFill="1" applyBorder="1" applyAlignment="1">
      <alignment horizontal="center"/>
    </xf>
    <xf numFmtId="0" fontId="45" fillId="0" borderId="0" xfId="4" applyFont="1" applyAlignment="1" applyProtection="1"/>
  </cellXfs>
  <cellStyles count="19">
    <cellStyle name="Euro" xfId="1"/>
    <cellStyle name="Euro_Recherchev_Devis" xfId="2"/>
    <cellStyle name="Euro_RepartitionMontantMois" xfId="3"/>
    <cellStyle name="Hypertextový odkaz" xfId="4" builtinId="8"/>
    <cellStyle name="Měna" xfId="5" builtinId="4"/>
    <cellStyle name="Milliers_Recherchev_exemples" xfId="6"/>
    <cellStyle name="Normal_Facture" xfId="7"/>
    <cellStyle name="Normal_Fonction_Index_equiv_prix" xfId="8"/>
    <cellStyle name="Normal_Fonction_IndexRecherchevEquiv" xfId="9"/>
    <cellStyle name="Normal_Fonction_Indirect" xfId="10"/>
    <cellStyle name="Normal_Recherchev" xfId="11"/>
    <cellStyle name="Normal_Recherchev_compare_codes" xfId="12"/>
    <cellStyle name="Normal_Recherchev_Devis" xfId="13"/>
    <cellStyle name="Normal_recherchev_equiv" xfId="14"/>
    <cellStyle name="Normal_RecherchevAdresseCorrigé" xfId="15"/>
    <cellStyle name="Normal_RecherchevMultiColonnes" xfId="16"/>
    <cellStyle name="Normal_RecherchevPays" xfId="17"/>
    <cellStyle name="Normální" xfId="0" builtinId="0"/>
    <cellStyle name="Procenta" xfId="18" builtinId="5"/>
  </cellStyles>
  <dxfs count="25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DATASPECTRUM.CZ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dataspectrum.c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106680</xdr:rowOff>
    </xdr:from>
    <xdr:to>
      <xdr:col>5</xdr:col>
      <xdr:colOff>160020</xdr:colOff>
      <xdr:row>48</xdr:row>
      <xdr:rowOff>22860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ACC7EAED-4843-478F-8961-13450AA75306}"/>
            </a:ext>
          </a:extLst>
        </xdr:cNvPr>
        <xdr:cNvSpPr txBox="1">
          <a:spLocks noChangeArrowheads="1"/>
        </xdr:cNvSpPr>
      </xdr:nvSpPr>
      <xdr:spPr bwMode="auto">
        <a:xfrm>
          <a:off x="472440" y="3017520"/>
          <a:ext cx="7970520" cy="432054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Funkce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SVYHLEDAT(hledaná_hodnota;tabulka_hodnot;sloupec;PRAVDA nebo  NEPRAVDA )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vyhledává zadanou hodnotu v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prvním sloupci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zadané tabulky hodnot a vrací hodnotu z určeného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sloupce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zadané tabulky.  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-pokud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není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první sloupec zadané tabulky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setříděný vzestupně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, musíme zadat hodnotu 4. argumentu funkce SVYHLEDAT()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NEPRAVDA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nebo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0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. Funkce SVYHLEDAT() v případě, že hledaná hodnota v prvním sloupci tabulky neexistuje, vrátí chybovou hodnotu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#N/A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. 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-pokud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je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první sloupec prohledávané tabulky hodnot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setříděný vzestupně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, můžeme zadat hodnotu 4. argumentu funkce SVYHLEDAT()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PRAVDA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nebo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1 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nebo ji můžeme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vynechat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.  Funkce SVYHLEDAT() pak použije přibližné vyhledávání (není-li nalezena hodnota přesně odpovídající hledané hodnotě, vrátí funkce největší hodnotu menší než hledat).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 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Tento způsob vyhledávání je více než 100x rychlejší než vyhledávání přesné hodnoty, protože funkce neprochází všechny hodnoty v prohledávaném sloupci. 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-pokud zadáme 4. argument funkce SVYHLEDAT()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PRAVDA 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(nebo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1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), prochází Excel prohledávaný sloupec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DICHOTOMICKY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, pokud bude mít argument hodnotu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NEPRAVDA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(nebo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0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), prochází Excel prohledávaný sloupec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SEKVENČNĚ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.  Pokud potřebujeme ověřit, zda hledaná hodnota v prohledávaném sloupci při použití argumentu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PRAVDA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nebo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1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existuje (Excel nám totiž nevrátí  chybu #N/A, ale vrátí nejbližší hodnotu určenou dichotomickým tříděním, která tedy může ležet ve zcela odlehlých místech prohledávaného sloupce - to často vyvolává mylné přesvědčení uživatelů, že Excel vrací hodnoty nepředvídatelně), použijeme vzorec: </a:t>
          </a:r>
        </a:p>
        <a:p>
          <a:pPr algn="l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=KDYŽ(SVYHLEDAT(hledaná_hodnota;tabulka_hodnot;1;PRAVDA)=hledaná_hodnota; SVYHLEDAT(hledaná_hodnota;tabulka_hodnot;sloupec;PRAVDA);"Nenalezeno")</a:t>
          </a: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Funkce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POZVYHLEDAT 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(hledaná_hodnota;tabulka_hodnot;0 nebo 1 nebo -1) vrací pozici hledané hodnoty v prohledávané tabulce hodnot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-třetí argument = 0 -  funkce vrací chybu #N/A, jestliže tabulka_hodnot neobsahuje  hledanou hodnotu. Hodnoty argumentu tabulka_hodnot nemusí být seřazeny.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-třetí argument = 1,  funkce vrací největší hodnotu, která je menší nebo rovna hledané hodnotě. Hodnoty argumentu tabulka_hodnot musí být přitom seřazeny vzestupně: ...-2; -1; 0; 1; 2;...;A-Z; NEPRAVDA; PRAVDA.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-třetí argument = -1, funkce vrací nejmenší hodnotu, která je větší nebo rovna hledané hodnotě (co). Hodnoty argumentu tabulka_hodnot přitom musí být seřazeny sestupně: PRAVDA; NEPRAVDA; Z-A;...;2; 1; 0; -1; -2;... atd.</a:t>
          </a:r>
        </a:p>
      </xdr:txBody>
    </xdr:sp>
    <xdr:clientData/>
  </xdr:twoCellAnchor>
  <xdr:twoCellAnchor editAs="oneCell">
    <xdr:from>
      <xdr:col>3</xdr:col>
      <xdr:colOff>2057400</xdr:colOff>
      <xdr:row>12</xdr:row>
      <xdr:rowOff>43576</xdr:rowOff>
    </xdr:from>
    <xdr:to>
      <xdr:col>5</xdr:col>
      <xdr:colOff>175259</xdr:colOff>
      <xdr:row>19</xdr:row>
      <xdr:rowOff>62866</xdr:rowOff>
    </xdr:to>
    <xdr:pic>
      <xdr:nvPicPr>
        <xdr:cNvPr id="3" name="Obráz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3EE5C-4D42-4E0C-8CC4-4E2692D94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6480" y="1940956"/>
          <a:ext cx="2331719" cy="103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22860</xdr:rowOff>
    </xdr:from>
    <xdr:to>
      <xdr:col>6</xdr:col>
      <xdr:colOff>792480</xdr:colOff>
      <xdr:row>25</xdr:row>
      <xdr:rowOff>30480</xdr:rowOff>
    </xdr:to>
    <xdr:sp macro="" textlink="">
      <xdr:nvSpPr>
        <xdr:cNvPr id="27649" name="Texte 1">
          <a:extLst>
            <a:ext uri="{FF2B5EF4-FFF2-40B4-BE49-F238E27FC236}">
              <a16:creationId xmlns:a16="http://schemas.microsoft.com/office/drawing/2014/main" id="{17988097-53E5-4352-86AF-37BC17A5E29C}"/>
            </a:ext>
          </a:extLst>
        </xdr:cNvPr>
        <xdr:cNvSpPr txBox="1">
          <a:spLocks noChangeArrowheads="1"/>
        </xdr:cNvSpPr>
      </xdr:nvSpPr>
      <xdr:spPr bwMode="auto">
        <a:xfrm>
          <a:off x="434340" y="2583180"/>
          <a:ext cx="4518660" cy="131064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Zapíšeme do buňky C8 vzorec: </a:t>
          </a:r>
        </a:p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=SVYHLEDAT(B8;$H$8:$J$13;</a:t>
          </a:r>
          <a:r>
            <a:rPr lang="cs-CZ" sz="900" b="1" i="0" u="none" strike="noStrike" baseline="0">
              <a:solidFill>
                <a:srgbClr val="FF0000"/>
              </a:solidFill>
              <a:latin typeface="Verdana"/>
              <a:ea typeface="Verdana"/>
            </a:rPr>
            <a:t>2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;NEPRAVDA)</a:t>
          </a:r>
        </a:p>
        <a:p>
          <a:pPr algn="l" rtl="0">
            <a:defRPr sz="1000"/>
          </a:pPr>
          <a:endParaRPr lang="cs-CZ" sz="9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…a do buňky C9 vzorec</a:t>
          </a:r>
          <a:endParaRPr lang="cs-CZ" sz="9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=SVYHLEDAT(B8;$H$8:$J$13;</a:t>
          </a:r>
          <a:r>
            <a:rPr lang="cs-CZ" sz="900" b="1" i="0" u="none" strike="noStrike" baseline="0">
              <a:solidFill>
                <a:srgbClr val="FF0000"/>
              </a:solidFill>
              <a:latin typeface="Verdana"/>
              <a:ea typeface="Verdana"/>
            </a:rPr>
            <a:t>3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;NEPRAVDA)</a:t>
          </a:r>
        </a:p>
        <a:p>
          <a:pPr algn="l" rtl="0">
            <a:defRPr sz="1000"/>
          </a:pPr>
          <a:endParaRPr lang="cs-CZ" sz="9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Vzorce zkopírujeme směrem dolů</a:t>
          </a:r>
          <a:endParaRPr lang="cs-CZ" sz="9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endParaRPr lang="cs-CZ" sz="900" b="1" i="0" u="none" strike="noStrike" baseline="0">
            <a:solidFill>
              <a:srgbClr val="000000"/>
            </a:solidFill>
            <a:latin typeface="Verdana"/>
            <a:ea typeface="Verdana"/>
          </a:endParaRPr>
        </a:p>
      </xdr:txBody>
    </xdr:sp>
    <xdr:clientData/>
  </xdr:twoCellAnchor>
  <xdr:twoCellAnchor>
    <xdr:from>
      <xdr:col>1</xdr:col>
      <xdr:colOff>22860</xdr:colOff>
      <xdr:row>0</xdr:row>
      <xdr:rowOff>45720</xdr:rowOff>
    </xdr:from>
    <xdr:to>
      <xdr:col>10</xdr:col>
      <xdr:colOff>45720</xdr:colOff>
      <xdr:row>4</xdr:row>
      <xdr:rowOff>129540</xdr:rowOff>
    </xdr:to>
    <xdr:sp macro="" textlink="">
      <xdr:nvSpPr>
        <xdr:cNvPr id="27650" name="Texte 2">
          <a:extLst>
            <a:ext uri="{FF2B5EF4-FFF2-40B4-BE49-F238E27FC236}">
              <a16:creationId xmlns:a16="http://schemas.microsoft.com/office/drawing/2014/main" id="{690B33FD-87F9-443F-8763-16FB6A8C426F}"/>
            </a:ext>
          </a:extLst>
        </xdr:cNvPr>
        <xdr:cNvSpPr txBox="1">
          <a:spLocks noChangeArrowheads="1"/>
        </xdr:cNvSpPr>
      </xdr:nvSpPr>
      <xdr:spPr bwMode="auto">
        <a:xfrm>
          <a:off x="457200" y="45720"/>
          <a:ext cx="7353300" cy="66294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SVYHLEDAT(hledaná_hodnota;tabulka_hodnot;sloupec;PRAVDA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nebo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 NEPRAVDA )</a:t>
          </a:r>
        </a:p>
        <a:p>
          <a:pPr algn="l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Verdana"/>
              <a:ea typeface="Verdana"/>
            </a:rPr>
            <a:t>- funkce vyhledá v levém sloupci tabulky zadanou hodnotu (tabulka pro vyhledávání může být částí větší tabulky dat)</a:t>
          </a:r>
        </a:p>
        <a:p>
          <a:pPr algn="l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Verdana"/>
              <a:ea typeface="Verdana"/>
            </a:rPr>
            <a:t>- vrátí hodnotu odpovídající buňky ve stejném řádku určeného sloupce</a:t>
          </a:r>
        </a:p>
        <a:p>
          <a:pPr algn="l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Verdana"/>
            <a:ea typeface="Verdan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4</xdr:row>
      <xdr:rowOff>30480</xdr:rowOff>
    </xdr:from>
    <xdr:to>
      <xdr:col>3</xdr:col>
      <xdr:colOff>449580</xdr:colOff>
      <xdr:row>7</xdr:row>
      <xdr:rowOff>76200</xdr:rowOff>
    </xdr:to>
    <xdr:sp macro="" textlink="">
      <xdr:nvSpPr>
        <xdr:cNvPr id="12290" name="Line 2">
          <a:extLst>
            <a:ext uri="{FF2B5EF4-FFF2-40B4-BE49-F238E27FC236}">
              <a16:creationId xmlns:a16="http://schemas.microsoft.com/office/drawing/2014/main" id="{B8CB46CE-3E20-4630-823D-E405B6064DB5}"/>
            </a:ext>
          </a:extLst>
        </xdr:cNvPr>
        <xdr:cNvSpPr>
          <a:spLocks noChangeShapeType="1"/>
        </xdr:cNvSpPr>
      </xdr:nvSpPr>
      <xdr:spPr bwMode="auto">
        <a:xfrm flipH="1">
          <a:off x="2270760" y="640080"/>
          <a:ext cx="441960" cy="510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541020</xdr:colOff>
      <xdr:row>0</xdr:row>
      <xdr:rowOff>83820</xdr:rowOff>
    </xdr:from>
    <xdr:to>
      <xdr:col>9</xdr:col>
      <xdr:colOff>7620</xdr:colOff>
      <xdr:row>4</xdr:row>
      <xdr:rowOff>7620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08AAFBDB-9873-48BB-92E7-9B32FB014185}"/>
            </a:ext>
          </a:extLst>
        </xdr:cNvPr>
        <xdr:cNvSpPr txBox="1">
          <a:spLocks noChangeArrowheads="1"/>
        </xdr:cNvSpPr>
      </xdr:nvSpPr>
      <xdr:spPr bwMode="auto">
        <a:xfrm>
          <a:off x="541020" y="83820"/>
          <a:ext cx="7010400" cy="5334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procenta slevy k fakturované částce</a:t>
          </a:r>
        </a:p>
        <a:p>
          <a:pPr algn="l" rtl="0">
            <a:lnSpc>
              <a:spcPts val="1000"/>
            </a:lnSpc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=SVYHLEDAT(B8;$G$8:$I$12;3;PRAVDA)</a:t>
          </a:r>
        </a:p>
      </xdr:txBody>
    </xdr:sp>
    <xdr:clientData/>
  </xdr:twoCellAnchor>
  <xdr:twoCellAnchor>
    <xdr:from>
      <xdr:col>2</xdr:col>
      <xdr:colOff>480060</xdr:colOff>
      <xdr:row>15</xdr:row>
      <xdr:rowOff>114300</xdr:rowOff>
    </xdr:from>
    <xdr:to>
      <xdr:col>6</xdr:col>
      <xdr:colOff>769620</xdr:colOff>
      <xdr:row>19</xdr:row>
      <xdr:rowOff>45720</xdr:rowOff>
    </xdr:to>
    <xdr:sp macro="" textlink="">
      <xdr:nvSpPr>
        <xdr:cNvPr id="12292" name="Text Box 4">
          <a:extLst>
            <a:ext uri="{FF2B5EF4-FFF2-40B4-BE49-F238E27FC236}">
              <a16:creationId xmlns:a16="http://schemas.microsoft.com/office/drawing/2014/main" id="{F868E084-7EC7-416C-97CF-D804BD59A4DB}"/>
            </a:ext>
          </a:extLst>
        </xdr:cNvPr>
        <xdr:cNvSpPr txBox="1">
          <a:spLocks noChangeArrowheads="1"/>
        </xdr:cNvSpPr>
      </xdr:nvSpPr>
      <xdr:spPr bwMode="auto">
        <a:xfrm>
          <a:off x="2202180" y="2415540"/>
          <a:ext cx="3124200" cy="541020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cs-CZ" sz="10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</a:t>
          </a:r>
          <a:r>
            <a:rPr lang="cs-CZ" sz="1000" b="1" i="0" u="none" strike="noStrike" baseline="0">
              <a:solidFill>
                <a:srgbClr val="FF0000"/>
              </a:solidFill>
              <a:latin typeface="Verdana"/>
              <a:ea typeface="Verdana"/>
            </a:rPr>
            <a:t>B8</a:t>
          </a: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;</a:t>
          </a:r>
          <a:r>
            <a:rPr lang="cs-CZ" sz="1000" b="1" i="0" u="none" strike="noStrike" baseline="0">
              <a:solidFill>
                <a:srgbClr val="0000FF"/>
              </a:solidFill>
              <a:latin typeface="Verdana"/>
              <a:ea typeface="Verdana"/>
            </a:rPr>
            <a:t>$G$8:$I$12</a:t>
          </a: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;</a:t>
          </a:r>
          <a:r>
            <a:rPr lang="cs-CZ" sz="1000" b="1" i="0" u="none" strike="noStrike" baseline="0">
              <a:solidFill>
                <a:srgbClr val="008080"/>
              </a:solidFill>
              <a:latin typeface="Verdana"/>
              <a:ea typeface="Verdana"/>
            </a:rPr>
            <a:t>3</a:t>
          </a: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;PRAVDA)</a:t>
          </a:r>
        </a:p>
      </xdr:txBody>
    </xdr:sp>
    <xdr:clientData/>
  </xdr:twoCellAnchor>
  <xdr:twoCellAnchor>
    <xdr:from>
      <xdr:col>3</xdr:col>
      <xdr:colOff>22860</xdr:colOff>
      <xdr:row>7</xdr:row>
      <xdr:rowOff>76200</xdr:rowOff>
    </xdr:from>
    <xdr:to>
      <xdr:col>3</xdr:col>
      <xdr:colOff>441960</xdr:colOff>
      <xdr:row>15</xdr:row>
      <xdr:rowOff>106680</xdr:rowOff>
    </xdr:to>
    <xdr:grpSp>
      <xdr:nvGrpSpPr>
        <xdr:cNvPr id="12295" name="Group 7">
          <a:extLst>
            <a:ext uri="{FF2B5EF4-FFF2-40B4-BE49-F238E27FC236}">
              <a16:creationId xmlns:a16="http://schemas.microsoft.com/office/drawing/2014/main" id="{9CFDFFDA-6066-47BF-864A-3F0093866C25}"/>
            </a:ext>
          </a:extLst>
        </xdr:cNvPr>
        <xdr:cNvGrpSpPr>
          <a:grpSpLocks/>
        </xdr:cNvGrpSpPr>
      </xdr:nvGrpSpPr>
      <xdr:grpSpPr bwMode="auto">
        <a:xfrm>
          <a:off x="2286000" y="1150620"/>
          <a:ext cx="419100" cy="1257300"/>
          <a:chOff x="233" y="120"/>
          <a:chExt cx="43" cy="131"/>
        </a:xfrm>
      </xdr:grpSpPr>
      <xdr:sp macro="" textlink="">
        <xdr:nvSpPr>
          <xdr:cNvPr id="12293" name="Line 5">
            <a:extLst>
              <a:ext uri="{FF2B5EF4-FFF2-40B4-BE49-F238E27FC236}">
                <a16:creationId xmlns:a16="http://schemas.microsoft.com/office/drawing/2014/main" id="{E828A78B-7B8D-4C9B-87D3-1D3E8D98CCAB}"/>
              </a:ext>
            </a:extLst>
          </xdr:cNvPr>
          <xdr:cNvSpPr>
            <a:spLocks noChangeShapeType="1"/>
          </xdr:cNvSpPr>
        </xdr:nvSpPr>
        <xdr:spPr bwMode="auto">
          <a:xfrm>
            <a:off x="233" y="120"/>
            <a:ext cx="4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4" name="Line 6">
            <a:extLst>
              <a:ext uri="{FF2B5EF4-FFF2-40B4-BE49-F238E27FC236}">
                <a16:creationId xmlns:a16="http://schemas.microsoft.com/office/drawing/2014/main" id="{CE5BC16E-7531-4308-9560-7F0DA96E002C}"/>
              </a:ext>
            </a:extLst>
          </xdr:cNvPr>
          <xdr:cNvSpPr>
            <a:spLocks noChangeShapeType="1"/>
          </xdr:cNvSpPr>
        </xdr:nvSpPr>
        <xdr:spPr bwMode="auto">
          <a:xfrm>
            <a:off x="276" y="121"/>
            <a:ext cx="0" cy="13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320040</xdr:colOff>
      <xdr:row>7</xdr:row>
      <xdr:rowOff>83820</xdr:rowOff>
    </xdr:from>
    <xdr:to>
      <xdr:col>4</xdr:col>
      <xdr:colOff>228600</xdr:colOff>
      <xdr:row>21</xdr:row>
      <xdr:rowOff>121920</xdr:rowOff>
    </xdr:to>
    <xdr:grpSp>
      <xdr:nvGrpSpPr>
        <xdr:cNvPr id="12310" name="Group 22">
          <a:extLst>
            <a:ext uri="{FF2B5EF4-FFF2-40B4-BE49-F238E27FC236}">
              <a16:creationId xmlns:a16="http://schemas.microsoft.com/office/drawing/2014/main" id="{6EFFB975-2315-4D2B-A2DF-662B1531859E}"/>
            </a:ext>
          </a:extLst>
        </xdr:cNvPr>
        <xdr:cNvGrpSpPr>
          <a:grpSpLocks/>
        </xdr:cNvGrpSpPr>
      </xdr:nvGrpSpPr>
      <xdr:grpSpPr bwMode="auto">
        <a:xfrm>
          <a:off x="1181100" y="1158240"/>
          <a:ext cx="2171700" cy="2194560"/>
          <a:chOff x="121" y="122"/>
          <a:chExt cx="221" cy="230"/>
        </a:xfrm>
      </xdr:grpSpPr>
      <xdr:sp macro="" textlink="">
        <xdr:nvSpPr>
          <xdr:cNvPr id="12296" name="Line 8">
            <a:extLst>
              <a:ext uri="{FF2B5EF4-FFF2-40B4-BE49-F238E27FC236}">
                <a16:creationId xmlns:a16="http://schemas.microsoft.com/office/drawing/2014/main" id="{F1752DC0-1A84-41D7-8A9E-635B9A57A0ED}"/>
              </a:ext>
            </a:extLst>
          </xdr:cNvPr>
          <xdr:cNvSpPr>
            <a:spLocks noChangeShapeType="1"/>
          </xdr:cNvSpPr>
        </xdr:nvSpPr>
        <xdr:spPr bwMode="auto">
          <a:xfrm>
            <a:off x="342" y="291"/>
            <a:ext cx="0" cy="6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7" name="Line 9">
            <a:extLst>
              <a:ext uri="{FF2B5EF4-FFF2-40B4-BE49-F238E27FC236}">
                <a16:creationId xmlns:a16="http://schemas.microsoft.com/office/drawing/2014/main" id="{38F28BA6-AD33-404E-9C50-D3A47142C4BD}"/>
              </a:ext>
            </a:extLst>
          </xdr:cNvPr>
          <xdr:cNvSpPr>
            <a:spLocks noChangeShapeType="1"/>
          </xdr:cNvSpPr>
        </xdr:nvSpPr>
        <xdr:spPr bwMode="auto">
          <a:xfrm flipH="1">
            <a:off x="121" y="352"/>
            <a:ext cx="22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98" name="Line 10">
            <a:extLst>
              <a:ext uri="{FF2B5EF4-FFF2-40B4-BE49-F238E27FC236}">
                <a16:creationId xmlns:a16="http://schemas.microsoft.com/office/drawing/2014/main" id="{845FDA37-E941-4C05-9903-3C46EC16F95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2" y="122"/>
            <a:ext cx="0" cy="228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7620</xdr:colOff>
      <xdr:row>12</xdr:row>
      <xdr:rowOff>60960</xdr:rowOff>
    </xdr:from>
    <xdr:to>
      <xdr:col>8</xdr:col>
      <xdr:colOff>525780</xdr:colOff>
      <xdr:row>15</xdr:row>
      <xdr:rowOff>114300</xdr:rowOff>
    </xdr:to>
    <xdr:sp macro="" textlink="">
      <xdr:nvSpPr>
        <xdr:cNvPr id="12302" name="AutoShape 14">
          <a:extLst>
            <a:ext uri="{FF2B5EF4-FFF2-40B4-BE49-F238E27FC236}">
              <a16:creationId xmlns:a16="http://schemas.microsoft.com/office/drawing/2014/main" id="{37CC3EE7-323C-456B-8D26-797264E6382A}"/>
            </a:ext>
          </a:extLst>
        </xdr:cNvPr>
        <xdr:cNvSpPr>
          <a:spLocks/>
        </xdr:cNvSpPr>
      </xdr:nvSpPr>
      <xdr:spPr bwMode="auto">
        <a:xfrm rot="5400000">
          <a:off x="5783580" y="685800"/>
          <a:ext cx="510540" cy="2948940"/>
        </a:xfrm>
        <a:prstGeom prst="rightBrace">
          <a:avLst>
            <a:gd name="adj1" fmla="val 48134"/>
            <a:gd name="adj2" fmla="val 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746760</xdr:colOff>
      <xdr:row>16</xdr:row>
      <xdr:rowOff>30480</xdr:rowOff>
    </xdr:from>
    <xdr:to>
      <xdr:col>7</xdr:col>
      <xdr:colOff>182880</xdr:colOff>
      <xdr:row>21</xdr:row>
      <xdr:rowOff>137160</xdr:rowOff>
    </xdr:to>
    <xdr:grpSp>
      <xdr:nvGrpSpPr>
        <xdr:cNvPr id="12309" name="Group 21">
          <a:extLst>
            <a:ext uri="{FF2B5EF4-FFF2-40B4-BE49-F238E27FC236}">
              <a16:creationId xmlns:a16="http://schemas.microsoft.com/office/drawing/2014/main" id="{E1387A35-E1F2-40FA-8704-5183218EBDF8}"/>
            </a:ext>
          </a:extLst>
        </xdr:cNvPr>
        <xdr:cNvGrpSpPr>
          <a:grpSpLocks/>
        </xdr:cNvGrpSpPr>
      </xdr:nvGrpSpPr>
      <xdr:grpSpPr bwMode="auto">
        <a:xfrm>
          <a:off x="3870960" y="2484120"/>
          <a:ext cx="2194560" cy="883920"/>
          <a:chOff x="395" y="261"/>
          <a:chExt cx="224" cy="92"/>
        </a:xfrm>
      </xdr:grpSpPr>
      <xdr:sp macro="" textlink="">
        <xdr:nvSpPr>
          <xdr:cNvPr id="12303" name="Line 15">
            <a:extLst>
              <a:ext uri="{FF2B5EF4-FFF2-40B4-BE49-F238E27FC236}">
                <a16:creationId xmlns:a16="http://schemas.microsoft.com/office/drawing/2014/main" id="{360A56AC-CC3E-474F-AB18-B96DEDE06064}"/>
              </a:ext>
            </a:extLst>
          </xdr:cNvPr>
          <xdr:cNvSpPr>
            <a:spLocks noChangeShapeType="1"/>
          </xdr:cNvSpPr>
        </xdr:nvSpPr>
        <xdr:spPr bwMode="auto">
          <a:xfrm>
            <a:off x="616" y="261"/>
            <a:ext cx="0" cy="9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04" name="Line 16">
            <a:extLst>
              <a:ext uri="{FF2B5EF4-FFF2-40B4-BE49-F238E27FC236}">
                <a16:creationId xmlns:a16="http://schemas.microsoft.com/office/drawing/2014/main" id="{C234B6AE-3B32-4F2B-AD6A-B5AF5B7A68D1}"/>
              </a:ext>
            </a:extLst>
          </xdr:cNvPr>
          <xdr:cNvSpPr>
            <a:spLocks noChangeShapeType="1"/>
          </xdr:cNvSpPr>
        </xdr:nvSpPr>
        <xdr:spPr bwMode="auto">
          <a:xfrm flipH="1">
            <a:off x="395" y="352"/>
            <a:ext cx="224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06" name="Line 18">
            <a:extLst>
              <a:ext uri="{FF2B5EF4-FFF2-40B4-BE49-F238E27FC236}">
                <a16:creationId xmlns:a16="http://schemas.microsoft.com/office/drawing/2014/main" id="{3BED1B6C-031B-49EB-A246-E5E7056FE271}"/>
              </a:ext>
            </a:extLst>
          </xdr:cNvPr>
          <xdr:cNvSpPr>
            <a:spLocks noChangeShapeType="1"/>
          </xdr:cNvSpPr>
        </xdr:nvSpPr>
        <xdr:spPr bwMode="auto">
          <a:xfrm flipV="1">
            <a:off x="397" y="289"/>
            <a:ext cx="0" cy="63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426720</xdr:colOff>
      <xdr:row>12</xdr:row>
      <xdr:rowOff>45720</xdr:rowOff>
    </xdr:from>
    <xdr:to>
      <xdr:col>8</xdr:col>
      <xdr:colOff>320040</xdr:colOff>
      <xdr:row>20</xdr:row>
      <xdr:rowOff>83820</xdr:rowOff>
    </xdr:to>
    <xdr:grpSp>
      <xdr:nvGrpSpPr>
        <xdr:cNvPr id="12314" name="Group 26">
          <a:extLst>
            <a:ext uri="{FF2B5EF4-FFF2-40B4-BE49-F238E27FC236}">
              <a16:creationId xmlns:a16="http://schemas.microsoft.com/office/drawing/2014/main" id="{23384868-9F07-4233-B9B0-E2DDF128912F}"/>
            </a:ext>
          </a:extLst>
        </xdr:cNvPr>
        <xdr:cNvGrpSpPr>
          <a:grpSpLocks/>
        </xdr:cNvGrpSpPr>
      </xdr:nvGrpSpPr>
      <xdr:grpSpPr bwMode="auto">
        <a:xfrm>
          <a:off x="4411980" y="1889760"/>
          <a:ext cx="2895600" cy="1272540"/>
          <a:chOff x="450" y="199"/>
          <a:chExt cx="296" cy="133"/>
        </a:xfrm>
      </xdr:grpSpPr>
      <xdr:sp macro="" textlink="">
        <xdr:nvSpPr>
          <xdr:cNvPr id="12311" name="Line 23">
            <a:extLst>
              <a:ext uri="{FF2B5EF4-FFF2-40B4-BE49-F238E27FC236}">
                <a16:creationId xmlns:a16="http://schemas.microsoft.com/office/drawing/2014/main" id="{36390425-AB9E-4F21-A801-04A734E6F731}"/>
              </a:ext>
            </a:extLst>
          </xdr:cNvPr>
          <xdr:cNvSpPr>
            <a:spLocks noChangeShapeType="1"/>
          </xdr:cNvSpPr>
        </xdr:nvSpPr>
        <xdr:spPr bwMode="auto">
          <a:xfrm>
            <a:off x="450" y="289"/>
            <a:ext cx="0" cy="43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80" mc:Ignorable="a14" a14:legacySpreadsheetColorIndex="21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12" name="Line 24">
            <a:extLst>
              <a:ext uri="{FF2B5EF4-FFF2-40B4-BE49-F238E27FC236}">
                <a16:creationId xmlns:a16="http://schemas.microsoft.com/office/drawing/2014/main" id="{F8ACD372-06E2-4227-93B2-CDE7DB773B93}"/>
              </a:ext>
            </a:extLst>
          </xdr:cNvPr>
          <xdr:cNvSpPr>
            <a:spLocks noChangeShapeType="1"/>
          </xdr:cNvSpPr>
        </xdr:nvSpPr>
        <xdr:spPr bwMode="auto">
          <a:xfrm flipV="1">
            <a:off x="450" y="330"/>
            <a:ext cx="296" cy="1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80" mc:Ignorable="a14" a14:legacySpreadsheetColorIndex="2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13" name="Line 25">
            <a:extLst>
              <a:ext uri="{FF2B5EF4-FFF2-40B4-BE49-F238E27FC236}">
                <a16:creationId xmlns:a16="http://schemas.microsoft.com/office/drawing/2014/main" id="{C8AD9746-F99A-4E84-B864-E949186B2A2B}"/>
              </a:ext>
            </a:extLst>
          </xdr:cNvPr>
          <xdr:cNvSpPr>
            <a:spLocks noChangeShapeType="1"/>
          </xdr:cNvSpPr>
        </xdr:nvSpPr>
        <xdr:spPr bwMode="auto">
          <a:xfrm flipV="1">
            <a:off x="745" y="199"/>
            <a:ext cx="0" cy="13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80" mc:Ignorable="a14" a14:legacySpreadsheetColorIndex="21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182880</xdr:colOff>
      <xdr:row>17</xdr:row>
      <xdr:rowOff>144780</xdr:rowOff>
    </xdr:from>
    <xdr:to>
      <xdr:col>6</xdr:col>
      <xdr:colOff>182880</xdr:colOff>
      <xdr:row>26</xdr:row>
      <xdr:rowOff>99060</xdr:rowOff>
    </xdr:to>
    <xdr:sp macro="" textlink="">
      <xdr:nvSpPr>
        <xdr:cNvPr id="12315" name="Line 27">
          <a:extLst>
            <a:ext uri="{FF2B5EF4-FFF2-40B4-BE49-F238E27FC236}">
              <a16:creationId xmlns:a16="http://schemas.microsoft.com/office/drawing/2014/main" id="{90F909CA-8D07-408C-99FF-60C1752458C8}"/>
            </a:ext>
          </a:extLst>
        </xdr:cNvPr>
        <xdr:cNvSpPr>
          <a:spLocks noChangeShapeType="1"/>
        </xdr:cNvSpPr>
      </xdr:nvSpPr>
      <xdr:spPr bwMode="auto">
        <a:xfrm>
          <a:off x="4739640" y="2750820"/>
          <a:ext cx="0" cy="134112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76200</xdr:rowOff>
    </xdr:from>
    <xdr:to>
      <xdr:col>12</xdr:col>
      <xdr:colOff>30480</xdr:colOff>
      <xdr:row>3</xdr:row>
      <xdr:rowOff>68580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BDA23811-D0FC-43B3-9641-6C9622DAB1FD}"/>
            </a:ext>
          </a:extLst>
        </xdr:cNvPr>
        <xdr:cNvSpPr txBox="1">
          <a:spLocks noChangeArrowheads="1"/>
        </xdr:cNvSpPr>
      </xdr:nvSpPr>
      <xdr:spPr bwMode="auto">
        <a:xfrm>
          <a:off x="5257800" y="76200"/>
          <a:ext cx="4183380" cy="50292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- 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z rozbalovacího seznamu v buňce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C3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zvolíme jméno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- funkce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SVYHLEDAT 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vrátí příslušné hodnoty z požadovaných    sloupců(1,2,3,…)</a:t>
          </a:r>
        </a:p>
      </xdr:txBody>
    </xdr:sp>
    <xdr:clientData/>
  </xdr:twoCellAnchor>
  <xdr:twoCellAnchor>
    <xdr:from>
      <xdr:col>3</xdr:col>
      <xdr:colOff>182880</xdr:colOff>
      <xdr:row>4</xdr:row>
      <xdr:rowOff>0</xdr:rowOff>
    </xdr:from>
    <xdr:to>
      <xdr:col>6</xdr:col>
      <xdr:colOff>358140</xdr:colOff>
      <xdr:row>5</xdr:row>
      <xdr:rowOff>38100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A2EF06A4-BE58-41CE-B1C4-5BAFCFA24028}"/>
            </a:ext>
          </a:extLst>
        </xdr:cNvPr>
        <xdr:cNvSpPr txBox="1">
          <a:spLocks noChangeArrowheads="1"/>
        </xdr:cNvSpPr>
      </xdr:nvSpPr>
      <xdr:spPr bwMode="auto">
        <a:xfrm>
          <a:off x="2377440" y="670560"/>
          <a:ext cx="2758440" cy="198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=SVYHLEDAT($C$3;$H$9:$L$28;3;NEPRAVDA)</a:t>
          </a:r>
        </a:p>
      </xdr:txBody>
    </xdr:sp>
    <xdr:clientData fPrintsWithSheet="0"/>
  </xdr:twoCellAnchor>
  <xdr:twoCellAnchor>
    <xdr:from>
      <xdr:col>2</xdr:col>
      <xdr:colOff>1409700</xdr:colOff>
      <xdr:row>4</xdr:row>
      <xdr:rowOff>76200</xdr:rowOff>
    </xdr:from>
    <xdr:to>
      <xdr:col>3</xdr:col>
      <xdr:colOff>198120</xdr:colOff>
      <xdr:row>4</xdr:row>
      <xdr:rowOff>76200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B11EB408-1CB4-4386-85EC-521078DF6F3C}"/>
            </a:ext>
          </a:extLst>
        </xdr:cNvPr>
        <xdr:cNvSpPr>
          <a:spLocks noChangeShapeType="1"/>
        </xdr:cNvSpPr>
      </xdr:nvSpPr>
      <xdr:spPr bwMode="auto">
        <a:xfrm flipH="1">
          <a:off x="2186940" y="74676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182880</xdr:colOff>
      <xdr:row>0</xdr:row>
      <xdr:rowOff>91440</xdr:rowOff>
    </xdr:from>
    <xdr:to>
      <xdr:col>2</xdr:col>
      <xdr:colOff>853440</xdr:colOff>
      <xdr:row>2</xdr:row>
      <xdr:rowOff>22860</xdr:rowOff>
    </xdr:to>
    <xdr:grpSp>
      <xdr:nvGrpSpPr>
        <xdr:cNvPr id="7190" name="Group 22">
          <a:extLst>
            <a:ext uri="{FF2B5EF4-FFF2-40B4-BE49-F238E27FC236}">
              <a16:creationId xmlns:a16="http://schemas.microsoft.com/office/drawing/2014/main" id="{75D92BA0-E33A-408E-AC96-4596FEEC02B3}"/>
            </a:ext>
          </a:extLst>
        </xdr:cNvPr>
        <xdr:cNvGrpSpPr>
          <a:grpSpLocks/>
        </xdr:cNvGrpSpPr>
      </xdr:nvGrpSpPr>
      <xdr:grpSpPr bwMode="auto">
        <a:xfrm>
          <a:off x="182880" y="91440"/>
          <a:ext cx="1447800" cy="266700"/>
          <a:chOff x="19" y="10"/>
          <a:chExt cx="147" cy="28"/>
        </a:xfrm>
      </xdr:grpSpPr>
      <xdr:sp macro="" textlink="">
        <xdr:nvSpPr>
          <xdr:cNvPr id="7184" name="Text Box 16">
            <a:extLst>
              <a:ext uri="{FF2B5EF4-FFF2-40B4-BE49-F238E27FC236}">
                <a16:creationId xmlns:a16="http://schemas.microsoft.com/office/drawing/2014/main" id="{520B8FBE-35FF-4AE4-891C-49887E7C99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10"/>
            <a:ext cx="147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FFFFFF"/>
                </a:solidFill>
                <a:latin typeface="Verdana"/>
                <a:ea typeface="Verdana"/>
              </a:rPr>
              <a:t>výběr ze seznamu</a:t>
            </a:r>
          </a:p>
        </xdr:txBody>
      </xdr:sp>
      <xdr:sp macro="" textlink="">
        <xdr:nvSpPr>
          <xdr:cNvPr id="7185" name="Line 17">
            <a:extLst>
              <a:ext uri="{FF2B5EF4-FFF2-40B4-BE49-F238E27FC236}">
                <a16:creationId xmlns:a16="http://schemas.microsoft.com/office/drawing/2014/main" id="{797163B9-6A58-490D-8899-70B812F20B96}"/>
              </a:ext>
            </a:extLst>
          </xdr:cNvPr>
          <xdr:cNvSpPr>
            <a:spLocks noChangeShapeType="1"/>
          </xdr:cNvSpPr>
        </xdr:nvSpPr>
        <xdr:spPr bwMode="auto">
          <a:xfrm>
            <a:off x="113" y="27"/>
            <a:ext cx="11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</xdr:row>
      <xdr:rowOff>121920</xdr:rowOff>
    </xdr:from>
    <xdr:to>
      <xdr:col>5</xdr:col>
      <xdr:colOff>480060</xdr:colOff>
      <xdr:row>15</xdr:row>
      <xdr:rowOff>76200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D5C5B0E6-5A78-4D2B-8197-20F6738CB167}"/>
            </a:ext>
          </a:extLst>
        </xdr:cNvPr>
        <xdr:cNvSpPr txBox="1">
          <a:spLocks noChangeArrowheads="1"/>
        </xdr:cNvSpPr>
      </xdr:nvSpPr>
      <xdr:spPr bwMode="auto">
        <a:xfrm>
          <a:off x="266700" y="1021080"/>
          <a:ext cx="3878580" cy="1257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množství podle Oblasti a pořadového čísla Měsíce</a:t>
          </a:r>
        </a:p>
        <a:p>
          <a:pPr algn="l" rtl="0">
            <a:defRPr sz="1000"/>
          </a:pPr>
          <a:endParaRPr lang="cs-CZ" sz="9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=SVYHLEDAT(B1;F2:R5;B2+1;NEPRAVDA)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nebo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=SVYHLEDAT(B1;F2:R5;B2+1;0)</a:t>
          </a:r>
        </a:p>
      </xdr:txBody>
    </xdr:sp>
    <xdr:clientData/>
  </xdr:twoCellAnchor>
  <xdr:twoCellAnchor>
    <xdr:from>
      <xdr:col>1</xdr:col>
      <xdr:colOff>45720</xdr:colOff>
      <xdr:row>3</xdr:row>
      <xdr:rowOff>137160</xdr:rowOff>
    </xdr:from>
    <xdr:to>
      <xdr:col>1</xdr:col>
      <xdr:colOff>411480</xdr:colOff>
      <xdr:row>6</xdr:row>
      <xdr:rowOff>106680</xdr:rowOff>
    </xdr:to>
    <xdr:sp macro="" textlink="">
      <xdr:nvSpPr>
        <xdr:cNvPr id="20482" name="Line 2">
          <a:extLst>
            <a:ext uri="{FF2B5EF4-FFF2-40B4-BE49-F238E27FC236}">
              <a16:creationId xmlns:a16="http://schemas.microsoft.com/office/drawing/2014/main" id="{CAF342AE-49DE-4F90-8EDA-298E2C8C34D4}"/>
            </a:ext>
          </a:extLst>
        </xdr:cNvPr>
        <xdr:cNvSpPr>
          <a:spLocks noChangeShapeType="1"/>
        </xdr:cNvSpPr>
      </xdr:nvSpPr>
      <xdr:spPr bwMode="auto">
        <a:xfrm flipV="1">
          <a:off x="1188720" y="586740"/>
          <a:ext cx="36576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30480</xdr:rowOff>
    </xdr:from>
    <xdr:to>
      <xdr:col>8</xdr:col>
      <xdr:colOff>518160</xdr:colOff>
      <xdr:row>10</xdr:row>
      <xdr:rowOff>68580</xdr:rowOff>
    </xdr:to>
    <xdr:sp macro="" textlink="">
      <xdr:nvSpPr>
        <xdr:cNvPr id="15363" name="Text Box 3">
          <a:extLst>
            <a:ext uri="{FF2B5EF4-FFF2-40B4-BE49-F238E27FC236}">
              <a16:creationId xmlns:a16="http://schemas.microsoft.com/office/drawing/2014/main" id="{DB2439AD-7AE2-45D8-BEFD-22EF36411EA2}"/>
            </a:ext>
          </a:extLst>
        </xdr:cNvPr>
        <xdr:cNvSpPr txBox="1">
          <a:spLocks noChangeArrowheads="1"/>
        </xdr:cNvSpPr>
      </xdr:nvSpPr>
      <xdr:spPr bwMode="auto">
        <a:xfrm>
          <a:off x="243840" y="30480"/>
          <a:ext cx="6553200" cy="1638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Funkce POZVYHLEDAT(hledaná_hodnota;tabulka_hodnot;0 nebo 1 nebo -1) vrací pozici hledané hodnoty v prohledávané tabulce hodnot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-třetí argument = 0 -  funkce vrací chybu #N/A, jestliže tabulka_hodnot neobsahuje  hledanou hodnotu. Hodnoty argumentu </a:t>
          </a:r>
          <a:r>
            <a:rPr lang="cs-CZ" sz="800" b="0" i="1" u="none" strike="noStrike" baseline="0">
              <a:solidFill>
                <a:srgbClr val="000000"/>
              </a:solidFill>
              <a:latin typeface="Verdana"/>
              <a:ea typeface="Verdana"/>
            </a:rPr>
            <a:t>tabulka_hodnot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nemusí být seřazeny.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-třetí argument = 1,  funkce vrací největší hodnotu, která je menší nebo rovna hledané hodnotě. Hodnoty argumentu </a:t>
          </a:r>
          <a:r>
            <a:rPr lang="cs-CZ" sz="800" b="0" i="1" u="none" strike="noStrike" baseline="0">
              <a:solidFill>
                <a:srgbClr val="000000"/>
              </a:solidFill>
              <a:latin typeface="Verdana"/>
              <a:ea typeface="Verdana"/>
            </a:rPr>
            <a:t>tabulka_hodnot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musí být přitom seřazeny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vzestupně: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...-2; -1; 0; 1; 2;...;A-Z; NEPRAVDA; PRAVDA.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-třetí argument = -1, funkce vrací nejmenší hodnotu, která je větší nebo rovna hledané hodnotě (co). Hodnoty argumentu </a:t>
          </a:r>
          <a:r>
            <a:rPr lang="cs-CZ" sz="800" b="0" i="1" u="none" strike="noStrike" baseline="0">
              <a:solidFill>
                <a:srgbClr val="000000"/>
              </a:solidFill>
              <a:latin typeface="Verdana"/>
              <a:ea typeface="Verdana"/>
            </a:rPr>
            <a:t>tabulka_hodnot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přitom musí být seřazeny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sestupně: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PRAVDA; NEPRAVDA; Z-A;...;2; 1; 0; -1; -2;... atd.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</xdr:txBody>
    </xdr:sp>
    <xdr:clientData/>
  </xdr:twoCellAnchor>
  <xdr:twoCellAnchor>
    <xdr:from>
      <xdr:col>2</xdr:col>
      <xdr:colOff>624840</xdr:colOff>
      <xdr:row>12</xdr:row>
      <xdr:rowOff>106680</xdr:rowOff>
    </xdr:from>
    <xdr:to>
      <xdr:col>3</xdr:col>
      <xdr:colOff>7620</xdr:colOff>
      <xdr:row>14</xdr:row>
      <xdr:rowOff>53340</xdr:rowOff>
    </xdr:to>
    <xdr:sp macro="" textlink="">
      <xdr:nvSpPr>
        <xdr:cNvPr id="15364" name="Line 4">
          <a:extLst>
            <a:ext uri="{FF2B5EF4-FFF2-40B4-BE49-F238E27FC236}">
              <a16:creationId xmlns:a16="http://schemas.microsoft.com/office/drawing/2014/main" id="{42A91B0C-7126-45E2-95BF-43C7070F1608}"/>
            </a:ext>
          </a:extLst>
        </xdr:cNvPr>
        <xdr:cNvSpPr>
          <a:spLocks noChangeShapeType="1"/>
        </xdr:cNvSpPr>
      </xdr:nvSpPr>
      <xdr:spPr bwMode="auto">
        <a:xfrm>
          <a:off x="2194560" y="2026920"/>
          <a:ext cx="16764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236220</xdr:colOff>
      <xdr:row>12</xdr:row>
      <xdr:rowOff>38100</xdr:rowOff>
    </xdr:from>
    <xdr:to>
      <xdr:col>2</xdr:col>
      <xdr:colOff>106680</xdr:colOff>
      <xdr:row>13</xdr:row>
      <xdr:rowOff>144780</xdr:rowOff>
    </xdr:to>
    <xdr:grpSp>
      <xdr:nvGrpSpPr>
        <xdr:cNvPr id="15371" name="Group 11">
          <a:extLst>
            <a:ext uri="{FF2B5EF4-FFF2-40B4-BE49-F238E27FC236}">
              <a16:creationId xmlns:a16="http://schemas.microsoft.com/office/drawing/2014/main" id="{1DC72C42-76CE-4CBD-AEBA-E6A580009885}"/>
            </a:ext>
          </a:extLst>
        </xdr:cNvPr>
        <xdr:cNvGrpSpPr>
          <a:grpSpLocks/>
        </xdr:cNvGrpSpPr>
      </xdr:nvGrpSpPr>
      <xdr:grpSpPr bwMode="auto">
        <a:xfrm>
          <a:off x="236220" y="1958340"/>
          <a:ext cx="1440180" cy="266700"/>
          <a:chOff x="19" y="10"/>
          <a:chExt cx="147" cy="28"/>
        </a:xfrm>
      </xdr:grpSpPr>
      <xdr:sp macro="" textlink="">
        <xdr:nvSpPr>
          <xdr:cNvPr id="15372" name="Text Box 12">
            <a:extLst>
              <a:ext uri="{FF2B5EF4-FFF2-40B4-BE49-F238E27FC236}">
                <a16:creationId xmlns:a16="http://schemas.microsoft.com/office/drawing/2014/main" id="{1368B57A-5860-44B2-ABBE-7404D69301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10"/>
            <a:ext cx="147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FFFFFF"/>
                </a:solidFill>
                <a:latin typeface="Verdana"/>
                <a:ea typeface="Verdana"/>
              </a:rPr>
              <a:t>výběr ze seznamu</a:t>
            </a:r>
          </a:p>
        </xdr:txBody>
      </xdr:sp>
      <xdr:sp macro="" textlink="">
        <xdr:nvSpPr>
          <xdr:cNvPr id="15373" name="Line 13">
            <a:extLst>
              <a:ext uri="{FF2B5EF4-FFF2-40B4-BE49-F238E27FC236}">
                <a16:creationId xmlns:a16="http://schemas.microsoft.com/office/drawing/2014/main" id="{0BF83105-C0E5-42DD-AFB6-9C663EC4B506}"/>
              </a:ext>
            </a:extLst>
          </xdr:cNvPr>
          <xdr:cNvSpPr>
            <a:spLocks noChangeShapeType="1"/>
          </xdr:cNvSpPr>
        </xdr:nvSpPr>
        <xdr:spPr bwMode="auto">
          <a:xfrm>
            <a:off x="113" y="27"/>
            <a:ext cx="11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0</xdr:row>
      <xdr:rowOff>53340</xdr:rowOff>
    </xdr:from>
    <xdr:to>
      <xdr:col>24</xdr:col>
      <xdr:colOff>236220</xdr:colOff>
      <xdr:row>4</xdr:row>
      <xdr:rowOff>68580</xdr:rowOff>
    </xdr:to>
    <xdr:sp macro="" textlink="">
      <xdr:nvSpPr>
        <xdr:cNvPr id="16385" name="Text Box 1">
          <a:extLst>
            <a:ext uri="{FF2B5EF4-FFF2-40B4-BE49-F238E27FC236}">
              <a16:creationId xmlns:a16="http://schemas.microsoft.com/office/drawing/2014/main" id="{28D2131F-B666-41DE-BFE2-317EEA0DE562}"/>
            </a:ext>
          </a:extLst>
        </xdr:cNvPr>
        <xdr:cNvSpPr txBox="1">
          <a:spLocks noChangeArrowheads="1"/>
        </xdr:cNvSpPr>
      </xdr:nvSpPr>
      <xdr:spPr bwMode="auto">
        <a:xfrm>
          <a:off x="1691640" y="53340"/>
          <a:ext cx="5692140" cy="62484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Index(Tabulka_hodnot;řádek;sloupec)</a:t>
          </a: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Vrací hodnotu buňky v průsečíku určeného řádku a sloupce.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=INDEX($B$8:$AF$19;B1;B2)</a:t>
          </a:r>
        </a:p>
      </xdr:txBody>
    </xdr:sp>
    <xdr:clientData/>
  </xdr:twoCellAnchor>
  <xdr:twoCellAnchor>
    <xdr:from>
      <xdr:col>2</xdr:col>
      <xdr:colOff>0</xdr:colOff>
      <xdr:row>2</xdr:row>
      <xdr:rowOff>137160</xdr:rowOff>
    </xdr:from>
    <xdr:to>
      <xdr:col>3</xdr:col>
      <xdr:colOff>228600</xdr:colOff>
      <xdr:row>3</xdr:row>
      <xdr:rowOff>76200</xdr:rowOff>
    </xdr:to>
    <xdr:sp macro="" textlink="">
      <xdr:nvSpPr>
        <xdr:cNvPr id="16386" name="Line 2">
          <a:extLst>
            <a:ext uri="{FF2B5EF4-FFF2-40B4-BE49-F238E27FC236}">
              <a16:creationId xmlns:a16="http://schemas.microsoft.com/office/drawing/2014/main" id="{221DBA6F-0EF9-4205-8D2F-0419FE89AB90}"/>
            </a:ext>
          </a:extLst>
        </xdr:cNvPr>
        <xdr:cNvSpPr>
          <a:spLocks noChangeShapeType="1"/>
        </xdr:cNvSpPr>
      </xdr:nvSpPr>
      <xdr:spPr bwMode="auto">
        <a:xfrm flipH="1">
          <a:off x="1203960" y="441960"/>
          <a:ext cx="495300" cy="91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38100</xdr:rowOff>
    </xdr:from>
    <xdr:to>
      <xdr:col>17</xdr:col>
      <xdr:colOff>45720</xdr:colOff>
      <xdr:row>19</xdr:row>
      <xdr:rowOff>76200</xdr:rowOff>
    </xdr:to>
    <xdr:sp macro="" textlink="">
      <xdr:nvSpPr>
        <xdr:cNvPr id="30721" name="Text Box 1">
          <a:extLst>
            <a:ext uri="{FF2B5EF4-FFF2-40B4-BE49-F238E27FC236}">
              <a16:creationId xmlns:a16="http://schemas.microsoft.com/office/drawing/2014/main" id="{B8132C2F-899B-45EC-AEDC-7156749E85ED}"/>
            </a:ext>
          </a:extLst>
        </xdr:cNvPr>
        <xdr:cNvSpPr txBox="1">
          <a:spLocks noChangeArrowheads="1"/>
        </xdr:cNvSpPr>
      </xdr:nvSpPr>
      <xdr:spPr bwMode="auto">
        <a:xfrm>
          <a:off x="4130040" y="38100"/>
          <a:ext cx="5646420" cy="294132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6600"/>
              </a:solidFill>
              <a:latin typeface="Verdana"/>
              <a:ea typeface="Verdana"/>
            </a:rPr>
            <a:t>Vyhledání ceny desky podle zadané délky a šířky.</a:t>
          </a:r>
          <a:endParaRPr lang="cs-CZ" sz="11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Funkce POZVYHLEDAT(hledaná_hodnota;tabulka_hodnot;0 nebo 1 nebo -1) vrací pozici hledané hodnoty v prohledávané tabulce hodnot</a:t>
          </a:r>
        </a:p>
        <a:p>
          <a:pPr algn="l" rtl="0">
            <a:defRPr sz="1000"/>
          </a:pPr>
          <a:endParaRPr lang="cs-CZ" sz="8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třetí argument = 0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-  funkce vrací chybu #N/A, jestliže </a:t>
          </a:r>
          <a:r>
            <a:rPr lang="cs-CZ" sz="800" b="0" i="1" u="none" strike="noStrike" baseline="0">
              <a:solidFill>
                <a:srgbClr val="000000"/>
              </a:solidFill>
              <a:latin typeface="Verdana"/>
              <a:ea typeface="Verdana"/>
            </a:rPr>
            <a:t>tabulka_hodnot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neobsahuje  hledanou hodnotu. Hodnoty argumentu </a:t>
          </a:r>
          <a:r>
            <a:rPr lang="cs-CZ" sz="800" b="0" i="1" u="none" strike="noStrike" baseline="0">
              <a:solidFill>
                <a:srgbClr val="000000"/>
              </a:solidFill>
              <a:latin typeface="Verdana"/>
              <a:ea typeface="Verdana"/>
            </a:rPr>
            <a:t>tabulka_hodnot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nemusí být seřazeny.</a:t>
          </a: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třetí argument = 1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,  funkce vrací největší hodnotu, která je menší nebo rovna hledané hodnotě. Hodnoty argumentu </a:t>
          </a:r>
          <a:r>
            <a:rPr lang="cs-CZ" sz="800" b="0" i="1" u="none" strike="noStrike" baseline="0">
              <a:solidFill>
                <a:srgbClr val="000000"/>
              </a:solidFill>
              <a:latin typeface="Verdana"/>
              <a:ea typeface="Verdana"/>
            </a:rPr>
            <a:t>tabulka_hodnot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musí být přitom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seřazeny vzestupně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: ...-2; -1; 0; 1; 2;...;A-Z; NEPRAVDA; PRAVDA.</a:t>
          </a: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třetí argument = -1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, funkce vrací nejmenší hodnotu, která je větší nebo rovna hledané hodnotě (co). Hodnoty argumentu </a:t>
          </a:r>
          <a:r>
            <a:rPr lang="cs-CZ" sz="800" b="0" i="1" u="none" strike="noStrike" baseline="0">
              <a:solidFill>
                <a:srgbClr val="000000"/>
              </a:solidFill>
              <a:latin typeface="Verdana"/>
              <a:ea typeface="Verdana"/>
            </a:rPr>
            <a:t>tabulka_hodnot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přitom musí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být seřazeny sestupně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: PRAVDA; NEPRAVDA; Z-A;...;2; 1; 0; -1; -2;... atd.</a:t>
          </a:r>
          <a:endParaRPr lang="cs-CZ" sz="800" b="0" i="1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endParaRPr lang="cs-CZ" sz="8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Index(Tabulka_hodnot;řádek;sloupec) - 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vrací hodnotu buňky v průsečíku určeného řádku a sloupce.</a:t>
          </a:r>
          <a:endParaRPr lang="cs-CZ" sz="8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endParaRPr lang="cs-CZ" sz="8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Příklad:</a:t>
          </a: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=POZVYHLEDAT(C1;SIRKA;1)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vrací pozici hodnoty v buňce C1 v tabulce hodnot SIRKA  </a:t>
          </a:r>
        </a:p>
        <a:p>
          <a:pPr algn="l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=POZVYHLEDAT(C2;DELKA;1) 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vrací pozici hodnoty v buňce C2 v tabulce hodnot DELKA  </a:t>
          </a:r>
        </a:p>
        <a:p>
          <a:pPr algn="l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=INDEX(CENA;C5;C6) 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vrací hodnotu z tabulky hodnot v průsečíku řádku (hodnota C5) a sloupce (hodnota C6)</a:t>
          </a: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</xdr:txBody>
    </xdr:sp>
    <xdr:clientData/>
  </xdr:twoCellAnchor>
  <xdr:twoCellAnchor>
    <xdr:from>
      <xdr:col>3</xdr:col>
      <xdr:colOff>251460</xdr:colOff>
      <xdr:row>0</xdr:row>
      <xdr:rowOff>38100</xdr:rowOff>
    </xdr:from>
    <xdr:to>
      <xdr:col>7</xdr:col>
      <xdr:colOff>99060</xdr:colOff>
      <xdr:row>2</xdr:row>
      <xdr:rowOff>83820</xdr:rowOff>
    </xdr:to>
    <xdr:sp macro="" textlink="">
      <xdr:nvSpPr>
        <xdr:cNvPr id="30722" name="Text Box 2">
          <a:extLst>
            <a:ext uri="{FF2B5EF4-FFF2-40B4-BE49-F238E27FC236}">
              <a16:creationId xmlns:a16="http://schemas.microsoft.com/office/drawing/2014/main" id="{55C0430A-5438-44EB-9610-928ED672A14B}"/>
            </a:ext>
          </a:extLst>
        </xdr:cNvPr>
        <xdr:cNvSpPr txBox="1">
          <a:spLocks noChangeArrowheads="1"/>
        </xdr:cNvSpPr>
      </xdr:nvSpPr>
      <xdr:spPr bwMode="auto">
        <a:xfrm>
          <a:off x="1935480" y="38100"/>
          <a:ext cx="1417320" cy="350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Zadejte požadovanou hodnotu šířky a délky</a:t>
          </a:r>
        </a:p>
      </xdr:txBody>
    </xdr:sp>
    <xdr:clientData/>
  </xdr:twoCellAnchor>
  <xdr:twoCellAnchor>
    <xdr:from>
      <xdr:col>3</xdr:col>
      <xdr:colOff>30480</xdr:colOff>
      <xdr:row>0</xdr:row>
      <xdr:rowOff>76200</xdr:rowOff>
    </xdr:from>
    <xdr:to>
      <xdr:col>3</xdr:col>
      <xdr:colOff>243840</xdr:colOff>
      <xdr:row>0</xdr:row>
      <xdr:rowOff>83820</xdr:rowOff>
    </xdr:to>
    <xdr:sp macro="" textlink="">
      <xdr:nvSpPr>
        <xdr:cNvPr id="30723" name="Line 3">
          <a:extLst>
            <a:ext uri="{FF2B5EF4-FFF2-40B4-BE49-F238E27FC236}">
              <a16:creationId xmlns:a16="http://schemas.microsoft.com/office/drawing/2014/main" id="{DA8CAC68-979F-49AB-A027-3F8B41926519}"/>
            </a:ext>
          </a:extLst>
        </xdr:cNvPr>
        <xdr:cNvSpPr>
          <a:spLocks noChangeShapeType="1"/>
        </xdr:cNvSpPr>
      </xdr:nvSpPr>
      <xdr:spPr bwMode="auto">
        <a:xfrm flipH="1" flipV="1">
          <a:off x="1714500" y="76200"/>
          <a:ext cx="21336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4</xdr:row>
      <xdr:rowOff>22860</xdr:rowOff>
    </xdr:from>
    <xdr:to>
      <xdr:col>8</xdr:col>
      <xdr:colOff>45720</xdr:colOff>
      <xdr:row>5</xdr:row>
      <xdr:rowOff>22860</xdr:rowOff>
    </xdr:to>
    <xdr:sp macro="" textlink="">
      <xdr:nvSpPr>
        <xdr:cNvPr id="30724" name="Text Box 4">
          <a:extLst>
            <a:ext uri="{FF2B5EF4-FFF2-40B4-BE49-F238E27FC236}">
              <a16:creationId xmlns:a16="http://schemas.microsoft.com/office/drawing/2014/main" id="{8E5C191A-770F-4E98-BC46-4FE9B3110FB7}"/>
            </a:ext>
          </a:extLst>
        </xdr:cNvPr>
        <xdr:cNvSpPr txBox="1">
          <a:spLocks noChangeArrowheads="1"/>
        </xdr:cNvSpPr>
      </xdr:nvSpPr>
      <xdr:spPr bwMode="auto">
        <a:xfrm>
          <a:off x="1950720" y="617220"/>
          <a:ext cx="17678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=POZVYHLEDAT(C1;SIRKA;1)</a:t>
          </a:r>
        </a:p>
      </xdr:txBody>
    </xdr:sp>
    <xdr:clientData/>
  </xdr:twoCellAnchor>
  <xdr:twoCellAnchor>
    <xdr:from>
      <xdr:col>3</xdr:col>
      <xdr:colOff>266700</xdr:colOff>
      <xdr:row>5</xdr:row>
      <xdr:rowOff>45720</xdr:rowOff>
    </xdr:from>
    <xdr:to>
      <xdr:col>8</xdr:col>
      <xdr:colOff>45720</xdr:colOff>
      <xdr:row>6</xdr:row>
      <xdr:rowOff>45720</xdr:rowOff>
    </xdr:to>
    <xdr:sp macro="" textlink="">
      <xdr:nvSpPr>
        <xdr:cNvPr id="30725" name="Text Box 5">
          <a:extLst>
            <a:ext uri="{FF2B5EF4-FFF2-40B4-BE49-F238E27FC236}">
              <a16:creationId xmlns:a16="http://schemas.microsoft.com/office/drawing/2014/main" id="{BE957ACA-0771-4EB4-B095-7A4BD067937D}"/>
            </a:ext>
          </a:extLst>
        </xdr:cNvPr>
        <xdr:cNvSpPr txBox="1">
          <a:spLocks noChangeArrowheads="1"/>
        </xdr:cNvSpPr>
      </xdr:nvSpPr>
      <xdr:spPr bwMode="auto">
        <a:xfrm>
          <a:off x="1950720" y="784860"/>
          <a:ext cx="176784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=POZVYHLEDAT(C2;DELKA;1)</a:t>
          </a:r>
        </a:p>
      </xdr:txBody>
    </xdr:sp>
    <xdr:clientData/>
  </xdr:twoCellAnchor>
  <xdr:twoCellAnchor>
    <xdr:from>
      <xdr:col>3</xdr:col>
      <xdr:colOff>106680</xdr:colOff>
      <xdr:row>4</xdr:row>
      <xdr:rowOff>106680</xdr:rowOff>
    </xdr:from>
    <xdr:to>
      <xdr:col>3</xdr:col>
      <xdr:colOff>243840</xdr:colOff>
      <xdr:row>4</xdr:row>
      <xdr:rowOff>106680</xdr:rowOff>
    </xdr:to>
    <xdr:sp macro="" textlink="">
      <xdr:nvSpPr>
        <xdr:cNvPr id="30726" name="Line 6">
          <a:extLst>
            <a:ext uri="{FF2B5EF4-FFF2-40B4-BE49-F238E27FC236}">
              <a16:creationId xmlns:a16="http://schemas.microsoft.com/office/drawing/2014/main" id="{C560A13B-FDA3-4315-93C0-EB9954DD7B0D}"/>
            </a:ext>
          </a:extLst>
        </xdr:cNvPr>
        <xdr:cNvSpPr>
          <a:spLocks noChangeShapeType="1"/>
        </xdr:cNvSpPr>
      </xdr:nvSpPr>
      <xdr:spPr bwMode="auto">
        <a:xfrm flipH="1">
          <a:off x="1790700" y="70104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</xdr:colOff>
      <xdr:row>5</xdr:row>
      <xdr:rowOff>99060</xdr:rowOff>
    </xdr:from>
    <xdr:to>
      <xdr:col>3</xdr:col>
      <xdr:colOff>266700</xdr:colOff>
      <xdr:row>5</xdr:row>
      <xdr:rowOff>99060</xdr:rowOff>
    </xdr:to>
    <xdr:sp macro="" textlink="">
      <xdr:nvSpPr>
        <xdr:cNvPr id="30727" name="Line 7">
          <a:extLst>
            <a:ext uri="{FF2B5EF4-FFF2-40B4-BE49-F238E27FC236}">
              <a16:creationId xmlns:a16="http://schemas.microsoft.com/office/drawing/2014/main" id="{36A42467-4743-4609-91D5-2156BD3A5668}"/>
            </a:ext>
          </a:extLst>
        </xdr:cNvPr>
        <xdr:cNvSpPr>
          <a:spLocks noChangeShapeType="1"/>
        </xdr:cNvSpPr>
      </xdr:nvSpPr>
      <xdr:spPr bwMode="auto">
        <a:xfrm flipH="1" flipV="1">
          <a:off x="1775460" y="83820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403860</xdr:colOff>
      <xdr:row>8</xdr:row>
      <xdr:rowOff>53340</xdr:rowOff>
    </xdr:from>
    <xdr:to>
      <xdr:col>5</xdr:col>
      <xdr:colOff>304800</xdr:colOff>
      <xdr:row>9</xdr:row>
      <xdr:rowOff>45720</xdr:rowOff>
    </xdr:to>
    <xdr:sp macro="" textlink="">
      <xdr:nvSpPr>
        <xdr:cNvPr id="30728" name="Text Box 8">
          <a:extLst>
            <a:ext uri="{FF2B5EF4-FFF2-40B4-BE49-F238E27FC236}">
              <a16:creationId xmlns:a16="http://schemas.microsoft.com/office/drawing/2014/main" id="{84A11845-1355-4544-9802-2BC63901F8A1}"/>
            </a:ext>
          </a:extLst>
        </xdr:cNvPr>
        <xdr:cNvSpPr txBox="1">
          <a:spLocks noChangeArrowheads="1"/>
        </xdr:cNvSpPr>
      </xdr:nvSpPr>
      <xdr:spPr bwMode="auto">
        <a:xfrm>
          <a:off x="1402080" y="1272540"/>
          <a:ext cx="13182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=INDEX(CENA;C5;C6)</a:t>
          </a:r>
        </a:p>
      </xdr:txBody>
    </xdr:sp>
    <xdr:clientData/>
  </xdr:twoCellAnchor>
  <xdr:twoCellAnchor>
    <xdr:from>
      <xdr:col>2</xdr:col>
      <xdr:colOff>381000</xdr:colOff>
      <xdr:row>7</xdr:row>
      <xdr:rowOff>15240</xdr:rowOff>
    </xdr:from>
    <xdr:to>
      <xdr:col>2</xdr:col>
      <xdr:colOff>472440</xdr:colOff>
      <xdr:row>8</xdr:row>
      <xdr:rowOff>53340</xdr:rowOff>
    </xdr:to>
    <xdr:sp macro="" textlink="">
      <xdr:nvSpPr>
        <xdr:cNvPr id="30729" name="Line 9">
          <a:extLst>
            <a:ext uri="{FF2B5EF4-FFF2-40B4-BE49-F238E27FC236}">
              <a16:creationId xmlns:a16="http://schemas.microsoft.com/office/drawing/2014/main" id="{65B348ED-5B9D-4ADF-B720-DD3DD3EA3D20}"/>
            </a:ext>
          </a:extLst>
        </xdr:cNvPr>
        <xdr:cNvSpPr>
          <a:spLocks noChangeShapeType="1"/>
        </xdr:cNvSpPr>
      </xdr:nvSpPr>
      <xdr:spPr bwMode="auto">
        <a:xfrm flipH="1" flipV="1">
          <a:off x="1379220" y="1074420"/>
          <a:ext cx="91440" cy="198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548640</xdr:colOff>
      <xdr:row>0</xdr:row>
      <xdr:rowOff>76200</xdr:rowOff>
    </xdr:from>
    <xdr:to>
      <xdr:col>12</xdr:col>
      <xdr:colOff>0</xdr:colOff>
      <xdr:row>7</xdr:row>
      <xdr:rowOff>137160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E9B1CA2F-CD26-44D8-9EDE-7E7856893A29}"/>
            </a:ext>
          </a:extLst>
        </xdr:cNvPr>
        <xdr:cNvSpPr txBox="1">
          <a:spLocks noChangeArrowheads="1"/>
        </xdr:cNvSpPr>
      </xdr:nvSpPr>
      <xdr:spPr bwMode="auto">
        <a:xfrm>
          <a:off x="3726180" y="76200"/>
          <a:ext cx="5638800" cy="123444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hodnoty tarifu podle tarifního pásma</a:t>
          </a:r>
        </a:p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=SVYHLEDAT(Hodnota;Tabulka;Sloupec_odkud_vracím_hodnotu;</a:t>
          </a:r>
        </a:p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                         Pravda nebo Nepravda &lt;0 nebo 1&gt;)</a:t>
          </a: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-Vyhledá hodnotu v 1. sloupci Tabulky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-Vrátí hodnotu ve stejném řádku (ze sloupce zadaného ve 3. argumentu - Sloupec_odkud_vracím_hodnotu )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=SVYHLEDAT(C10;G10:H13;2;NEPRAVDA)</a:t>
          </a:r>
        </a:p>
      </xdr:txBody>
    </xdr:sp>
    <xdr:clientData/>
  </xdr:twoCellAnchor>
  <xdr:twoCellAnchor>
    <xdr:from>
      <xdr:col>3</xdr:col>
      <xdr:colOff>777240</xdr:colOff>
      <xdr:row>7</xdr:row>
      <xdr:rowOff>38100</xdr:rowOff>
    </xdr:from>
    <xdr:to>
      <xdr:col>4</xdr:col>
      <xdr:colOff>274320</xdr:colOff>
      <xdr:row>9</xdr:row>
      <xdr:rowOff>22860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76D7BF42-5615-4B2D-B270-442907971799}"/>
            </a:ext>
          </a:extLst>
        </xdr:cNvPr>
        <xdr:cNvSpPr>
          <a:spLocks noChangeShapeType="1"/>
        </xdr:cNvSpPr>
      </xdr:nvSpPr>
      <xdr:spPr bwMode="auto">
        <a:xfrm flipH="1">
          <a:off x="3794760" y="1211580"/>
          <a:ext cx="274320" cy="320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</xdr:colOff>
      <xdr:row>0</xdr:row>
      <xdr:rowOff>76200</xdr:rowOff>
    </xdr:from>
    <xdr:to>
      <xdr:col>9</xdr:col>
      <xdr:colOff>441960</xdr:colOff>
      <xdr:row>6</xdr:row>
      <xdr:rowOff>76200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9B48328A-FCB7-4E48-ADCC-F335FF91FDEF}"/>
            </a:ext>
          </a:extLst>
        </xdr:cNvPr>
        <xdr:cNvSpPr txBox="1">
          <a:spLocks noChangeArrowheads="1"/>
        </xdr:cNvSpPr>
      </xdr:nvSpPr>
      <xdr:spPr bwMode="auto">
        <a:xfrm>
          <a:off x="3322320" y="76200"/>
          <a:ext cx="4884420" cy="100584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SVYHLEDAT()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vyhledává hodnotu v </a:t>
          </a:r>
          <a:r>
            <a:rPr lang="cs-CZ" sz="900" b="1" i="1" u="none" strike="noStrike" baseline="0">
              <a:solidFill>
                <a:srgbClr val="000000"/>
              </a:solidFill>
              <a:latin typeface="Verdana"/>
              <a:ea typeface="Verdana"/>
            </a:rPr>
            <a:t>prvním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sloupci zadané oblasti. 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Funkci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SVYHLEDAT() 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můžeme nahradit kombinací funkcí </a:t>
          </a:r>
        </a:p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POZVYHLEDAT() / INDEX() </a:t>
          </a:r>
        </a:p>
        <a:p>
          <a:pPr algn="l" rtl="0">
            <a:defRPr sz="1000"/>
          </a:pPr>
          <a:endParaRPr lang="cs-CZ" sz="9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=INDEX(INDEX($G$10:$G$13;POZVYHLEDAT(C10;$F$10:$F$13;0))</a:t>
          </a:r>
        </a:p>
      </xdr:txBody>
    </xdr:sp>
    <xdr:clientData/>
  </xdr:twoCellAnchor>
  <xdr:twoCellAnchor>
    <xdr:from>
      <xdr:col>3</xdr:col>
      <xdr:colOff>708660</xdr:colOff>
      <xdr:row>6</xdr:row>
      <xdr:rowOff>99060</xdr:rowOff>
    </xdr:from>
    <xdr:to>
      <xdr:col>4</xdr:col>
      <xdr:colOff>198120</xdr:colOff>
      <xdr:row>8</xdr:row>
      <xdr:rowOff>76200</xdr:rowOff>
    </xdr:to>
    <xdr:sp macro="" textlink="">
      <xdr:nvSpPr>
        <xdr:cNvPr id="9218" name="Line 2">
          <a:extLst>
            <a:ext uri="{FF2B5EF4-FFF2-40B4-BE49-F238E27FC236}">
              <a16:creationId xmlns:a16="http://schemas.microsoft.com/office/drawing/2014/main" id="{0A9D2582-0E98-4417-A369-0790D650D411}"/>
            </a:ext>
          </a:extLst>
        </xdr:cNvPr>
        <xdr:cNvSpPr>
          <a:spLocks noChangeShapeType="1"/>
        </xdr:cNvSpPr>
      </xdr:nvSpPr>
      <xdr:spPr bwMode="auto">
        <a:xfrm flipH="1">
          <a:off x="3779520" y="1104900"/>
          <a:ext cx="27432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0</xdr:row>
      <xdr:rowOff>99060</xdr:rowOff>
    </xdr:from>
    <xdr:to>
      <xdr:col>10</xdr:col>
      <xdr:colOff>129540</xdr:colOff>
      <xdr:row>5</xdr:row>
      <xdr:rowOff>7620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E1CCD50C-264B-42FE-BFED-05C2E567E849}"/>
            </a:ext>
          </a:extLst>
        </xdr:cNvPr>
        <xdr:cNvSpPr txBox="1">
          <a:spLocks noChangeArrowheads="1"/>
        </xdr:cNvSpPr>
      </xdr:nvSpPr>
      <xdr:spPr bwMode="auto">
        <a:xfrm>
          <a:off x="1463040" y="99060"/>
          <a:ext cx="6294120" cy="63246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tarifu na základě 2 zadaných kritérií - tarifního pásma a oblasti</a:t>
          </a:r>
        </a:p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- pomocí SVYHLEDAT() / POZVYHLEDAT()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=SVYHLEDAT(D9;KOD_TARIF;POZVYHLEDAT(B9;KOD_OBLAST;0)+1;NEPRAVDA)</a:t>
          </a:r>
        </a:p>
      </xdr:txBody>
    </xdr:sp>
    <xdr:clientData/>
  </xdr:twoCellAnchor>
  <xdr:twoCellAnchor>
    <xdr:from>
      <xdr:col>4</xdr:col>
      <xdr:colOff>655320</xdr:colOff>
      <xdr:row>5</xdr:row>
      <xdr:rowOff>0</xdr:rowOff>
    </xdr:from>
    <xdr:to>
      <xdr:col>5</xdr:col>
      <xdr:colOff>137160</xdr:colOff>
      <xdr:row>8</xdr:row>
      <xdr:rowOff>38100</xdr:rowOff>
    </xdr:to>
    <xdr:sp macro="" textlink="">
      <xdr:nvSpPr>
        <xdr:cNvPr id="6146" name="Line 2">
          <a:extLst>
            <a:ext uri="{FF2B5EF4-FFF2-40B4-BE49-F238E27FC236}">
              <a16:creationId xmlns:a16="http://schemas.microsoft.com/office/drawing/2014/main" id="{A05A1BCC-9956-473F-9F12-8280E2F157F2}"/>
            </a:ext>
          </a:extLst>
        </xdr:cNvPr>
        <xdr:cNvSpPr>
          <a:spLocks noChangeShapeType="1"/>
        </xdr:cNvSpPr>
      </xdr:nvSpPr>
      <xdr:spPr bwMode="auto">
        <a:xfrm flipH="1">
          <a:off x="4792980" y="723900"/>
          <a:ext cx="13716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449580</xdr:colOff>
      <xdr:row>8</xdr:row>
      <xdr:rowOff>83820</xdr:rowOff>
    </xdr:from>
    <xdr:to>
      <xdr:col>6</xdr:col>
      <xdr:colOff>381000</xdr:colOff>
      <xdr:row>26</xdr:row>
      <xdr:rowOff>38100</xdr:rowOff>
    </xdr:to>
    <xdr:grpSp>
      <xdr:nvGrpSpPr>
        <xdr:cNvPr id="6169" name="Group 25">
          <a:extLst>
            <a:ext uri="{FF2B5EF4-FFF2-40B4-BE49-F238E27FC236}">
              <a16:creationId xmlns:a16="http://schemas.microsoft.com/office/drawing/2014/main" id="{14F498C9-9559-474B-990C-C9931EE33D74}"/>
            </a:ext>
          </a:extLst>
        </xdr:cNvPr>
        <xdr:cNvGrpSpPr>
          <a:grpSpLocks/>
        </xdr:cNvGrpSpPr>
      </xdr:nvGrpSpPr>
      <xdr:grpSpPr bwMode="auto">
        <a:xfrm>
          <a:off x="1109980" y="1260687"/>
          <a:ext cx="4410287" cy="2672080"/>
          <a:chOff x="115" y="139"/>
          <a:chExt cx="440" cy="286"/>
        </a:xfrm>
      </xdr:grpSpPr>
      <xdr:sp macro="" textlink="">
        <xdr:nvSpPr>
          <xdr:cNvPr id="6153" name="Line 9">
            <a:extLst>
              <a:ext uri="{FF2B5EF4-FFF2-40B4-BE49-F238E27FC236}">
                <a16:creationId xmlns:a16="http://schemas.microsoft.com/office/drawing/2014/main" id="{750C10B1-AB64-453A-840A-383A4627A756}"/>
              </a:ext>
            </a:extLst>
          </xdr:cNvPr>
          <xdr:cNvSpPr>
            <a:spLocks noChangeShapeType="1"/>
          </xdr:cNvSpPr>
        </xdr:nvSpPr>
        <xdr:spPr bwMode="auto">
          <a:xfrm>
            <a:off x="553" y="348"/>
            <a:ext cx="0" cy="7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4" name="Line 10">
            <a:extLst>
              <a:ext uri="{FF2B5EF4-FFF2-40B4-BE49-F238E27FC236}">
                <a16:creationId xmlns:a16="http://schemas.microsoft.com/office/drawing/2014/main" id="{00C732D7-67F6-4123-B44B-3079BD4F0593}"/>
              </a:ext>
            </a:extLst>
          </xdr:cNvPr>
          <xdr:cNvSpPr>
            <a:spLocks noChangeShapeType="1"/>
          </xdr:cNvSpPr>
        </xdr:nvSpPr>
        <xdr:spPr bwMode="auto">
          <a:xfrm flipH="1">
            <a:off x="115" y="425"/>
            <a:ext cx="44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55" name="Line 11">
            <a:extLst>
              <a:ext uri="{FF2B5EF4-FFF2-40B4-BE49-F238E27FC236}">
                <a16:creationId xmlns:a16="http://schemas.microsoft.com/office/drawing/2014/main" id="{F8C702A7-E143-49CE-9367-C7F80FB130AD}"/>
              </a:ext>
            </a:extLst>
          </xdr:cNvPr>
          <xdr:cNvSpPr>
            <a:spLocks noChangeShapeType="1"/>
          </xdr:cNvSpPr>
        </xdr:nvSpPr>
        <xdr:spPr bwMode="auto">
          <a:xfrm flipV="1">
            <a:off x="117" y="139"/>
            <a:ext cx="0" cy="285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68580</xdr:colOff>
      <xdr:row>12</xdr:row>
      <xdr:rowOff>45720</xdr:rowOff>
    </xdr:from>
    <xdr:to>
      <xdr:col>11</xdr:col>
      <xdr:colOff>411480</xdr:colOff>
      <xdr:row>15</xdr:row>
      <xdr:rowOff>99060</xdr:rowOff>
    </xdr:to>
    <xdr:sp macro="" textlink="">
      <xdr:nvSpPr>
        <xdr:cNvPr id="6156" name="AutoShape 12">
          <a:extLst>
            <a:ext uri="{FF2B5EF4-FFF2-40B4-BE49-F238E27FC236}">
              <a16:creationId xmlns:a16="http://schemas.microsoft.com/office/drawing/2014/main" id="{2BCDC9CF-71D5-4CE4-92F7-A55B9D944EE1}"/>
            </a:ext>
          </a:extLst>
        </xdr:cNvPr>
        <xdr:cNvSpPr>
          <a:spLocks/>
        </xdr:cNvSpPr>
      </xdr:nvSpPr>
      <xdr:spPr bwMode="auto">
        <a:xfrm rot="5400000">
          <a:off x="6911340" y="594360"/>
          <a:ext cx="495300" cy="2948940"/>
        </a:xfrm>
        <a:prstGeom prst="rightBrace">
          <a:avLst>
            <a:gd name="adj1" fmla="val 49615"/>
            <a:gd name="adj2" fmla="val 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99060</xdr:colOff>
      <xdr:row>16</xdr:row>
      <xdr:rowOff>0</xdr:rowOff>
    </xdr:from>
    <xdr:to>
      <xdr:col>9</xdr:col>
      <xdr:colOff>106680</xdr:colOff>
      <xdr:row>25</xdr:row>
      <xdr:rowOff>45720</xdr:rowOff>
    </xdr:to>
    <xdr:sp macro="" textlink="">
      <xdr:nvSpPr>
        <xdr:cNvPr id="6158" name="Line 14">
          <a:extLst>
            <a:ext uri="{FF2B5EF4-FFF2-40B4-BE49-F238E27FC236}">
              <a16:creationId xmlns:a16="http://schemas.microsoft.com/office/drawing/2014/main" id="{CD7645A0-7DFC-4B7D-B314-490D7B41D39F}"/>
            </a:ext>
          </a:extLst>
        </xdr:cNvPr>
        <xdr:cNvSpPr>
          <a:spLocks noChangeShapeType="1"/>
        </xdr:cNvSpPr>
      </xdr:nvSpPr>
      <xdr:spPr bwMode="auto">
        <a:xfrm>
          <a:off x="7155180" y="2362200"/>
          <a:ext cx="7620" cy="144018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1013460</xdr:colOff>
      <xdr:row>25</xdr:row>
      <xdr:rowOff>38100</xdr:rowOff>
    </xdr:from>
    <xdr:to>
      <xdr:col>9</xdr:col>
      <xdr:colOff>129540</xdr:colOff>
      <xdr:row>25</xdr:row>
      <xdr:rowOff>38100</xdr:rowOff>
    </xdr:to>
    <xdr:sp macro="" textlink="">
      <xdr:nvSpPr>
        <xdr:cNvPr id="6159" name="Line 15">
          <a:extLst>
            <a:ext uri="{FF2B5EF4-FFF2-40B4-BE49-F238E27FC236}">
              <a16:creationId xmlns:a16="http://schemas.microsoft.com/office/drawing/2014/main" id="{D74B5CC7-AD61-4B9C-B19D-2897890D9A0B}"/>
            </a:ext>
          </a:extLst>
        </xdr:cNvPr>
        <xdr:cNvSpPr>
          <a:spLocks noChangeShapeType="1"/>
        </xdr:cNvSpPr>
      </xdr:nvSpPr>
      <xdr:spPr bwMode="auto">
        <a:xfrm flipH="1">
          <a:off x="3985260" y="3794760"/>
          <a:ext cx="32004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1028700</xdr:colOff>
      <xdr:row>21</xdr:row>
      <xdr:rowOff>121920</xdr:rowOff>
    </xdr:from>
    <xdr:to>
      <xdr:col>3</xdr:col>
      <xdr:colOff>1028700</xdr:colOff>
      <xdr:row>25</xdr:row>
      <xdr:rowOff>38100</xdr:rowOff>
    </xdr:to>
    <xdr:sp macro="" textlink="">
      <xdr:nvSpPr>
        <xdr:cNvPr id="6160" name="Line 16">
          <a:extLst>
            <a:ext uri="{FF2B5EF4-FFF2-40B4-BE49-F238E27FC236}">
              <a16:creationId xmlns:a16="http://schemas.microsoft.com/office/drawing/2014/main" id="{6DF1C62F-FF17-4325-B061-FDBA71C5B60C}"/>
            </a:ext>
          </a:extLst>
        </xdr:cNvPr>
        <xdr:cNvSpPr>
          <a:spLocks noChangeShapeType="1"/>
        </xdr:cNvSpPr>
      </xdr:nvSpPr>
      <xdr:spPr bwMode="auto">
        <a:xfrm flipV="1">
          <a:off x="4000500" y="3276600"/>
          <a:ext cx="0" cy="51816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381000</xdr:colOff>
      <xdr:row>21</xdr:row>
      <xdr:rowOff>160020</xdr:rowOff>
    </xdr:from>
    <xdr:to>
      <xdr:col>9</xdr:col>
      <xdr:colOff>381000</xdr:colOff>
      <xdr:row>28</xdr:row>
      <xdr:rowOff>76200</xdr:rowOff>
    </xdr:to>
    <xdr:sp macro="" textlink="">
      <xdr:nvSpPr>
        <xdr:cNvPr id="6165" name="Line 21">
          <a:extLst>
            <a:ext uri="{FF2B5EF4-FFF2-40B4-BE49-F238E27FC236}">
              <a16:creationId xmlns:a16="http://schemas.microsoft.com/office/drawing/2014/main" id="{F678D01E-1EA2-44E4-9F9F-A5349E25784F}"/>
            </a:ext>
          </a:extLst>
        </xdr:cNvPr>
        <xdr:cNvSpPr>
          <a:spLocks noChangeShapeType="1"/>
        </xdr:cNvSpPr>
      </xdr:nvSpPr>
      <xdr:spPr bwMode="auto">
        <a:xfrm>
          <a:off x="7437120" y="3314700"/>
          <a:ext cx="0" cy="9525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350520</xdr:colOff>
      <xdr:row>8</xdr:row>
      <xdr:rowOff>91440</xdr:rowOff>
    </xdr:from>
    <xdr:to>
      <xdr:col>10</xdr:col>
      <xdr:colOff>533400</xdr:colOff>
      <xdr:row>23</xdr:row>
      <xdr:rowOff>7620</xdr:rowOff>
    </xdr:to>
    <xdr:grpSp>
      <xdr:nvGrpSpPr>
        <xdr:cNvPr id="6172" name="Group 28">
          <a:extLst>
            <a:ext uri="{FF2B5EF4-FFF2-40B4-BE49-F238E27FC236}">
              <a16:creationId xmlns:a16="http://schemas.microsoft.com/office/drawing/2014/main" id="{AE98805E-3B17-4E02-A8F4-69340D61755F}"/>
            </a:ext>
          </a:extLst>
        </xdr:cNvPr>
        <xdr:cNvGrpSpPr>
          <a:grpSpLocks/>
        </xdr:cNvGrpSpPr>
      </xdr:nvGrpSpPr>
      <xdr:grpSpPr bwMode="auto">
        <a:xfrm>
          <a:off x="1976120" y="1268307"/>
          <a:ext cx="6185747" cy="2202180"/>
          <a:chOff x="203" y="141"/>
          <a:chExt cx="631" cy="238"/>
        </a:xfrm>
      </xdr:grpSpPr>
      <xdr:sp macro="" textlink="">
        <xdr:nvSpPr>
          <xdr:cNvPr id="6148" name="Text Box 4">
            <a:extLst>
              <a:ext uri="{FF2B5EF4-FFF2-40B4-BE49-F238E27FC236}">
                <a16:creationId xmlns:a16="http://schemas.microsoft.com/office/drawing/2014/main" id="{DE436FC9-64B7-4B91-9A43-A72A131715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" y="322"/>
            <a:ext cx="631" cy="57"/>
          </a:xfrm>
          <a:prstGeom prst="rect">
            <a:avLst/>
          </a:prstGeom>
          <a:gradFill rotWithShape="0">
            <a:gsLst>
              <a:gs pos="0">
                <a:srgbClr xmlns:mc="http://schemas.openxmlformats.org/markup-compatibility/2006" xmlns:a14="http://schemas.microsoft.com/office/drawing/2010/main" val="FFFFCC" mc:Ignorable="a14" a14:legacySpreadsheetColorIndex="26"/>
              </a:gs>
              <a:gs pos="100000">
                <a:srgbClr val="FFFFFF"/>
              </a:gs>
            </a:gsLst>
            <a:lin ang="5400000" scaled="1"/>
          </a:gradFill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endPara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endParaRPr>
          </a:p>
          <a:p>
            <a:pPr algn="l" rtl="0">
              <a:defRPr sz="1000"/>
            </a:pPr>
            <a:r>
              <a:rPr lang="cs-CZ" sz="1000" b="1" i="0" u="none" strike="noStrike" baseline="0">
                <a:solidFill>
                  <a:srgbClr val="000000"/>
                </a:solidFill>
                <a:latin typeface="Verdana"/>
                <a:ea typeface="Verdana"/>
              </a:rPr>
              <a:t>=SVYHLEDAT(</a:t>
            </a:r>
            <a:r>
              <a:rPr lang="cs-CZ" sz="1000" b="1" i="0" u="none" strike="noStrike" baseline="0">
                <a:solidFill>
                  <a:srgbClr val="FF0000"/>
                </a:solidFill>
                <a:latin typeface="Verdana"/>
                <a:ea typeface="Verdana"/>
              </a:rPr>
              <a:t>D9</a:t>
            </a:r>
            <a:r>
              <a:rPr lang="cs-CZ" sz="1000" b="1" i="0" u="none" strike="noStrike" baseline="0">
                <a:solidFill>
                  <a:srgbClr val="000000"/>
                </a:solidFill>
                <a:latin typeface="Verdana"/>
                <a:ea typeface="Verdana"/>
              </a:rPr>
              <a:t>;</a:t>
            </a:r>
            <a:r>
              <a:rPr lang="cs-CZ" sz="1000" b="1" i="0" u="none" strike="noStrike" baseline="0">
                <a:solidFill>
                  <a:srgbClr val="0000FF"/>
                </a:solidFill>
                <a:latin typeface="Verdana"/>
                <a:ea typeface="Verdana"/>
              </a:rPr>
              <a:t>KOD_TARIF</a:t>
            </a:r>
            <a:r>
              <a:rPr lang="cs-CZ" sz="1000" b="1" i="0" u="none" strike="noStrike" baseline="0">
                <a:solidFill>
                  <a:srgbClr val="000000"/>
                </a:solidFill>
                <a:latin typeface="Verdana"/>
                <a:ea typeface="Verdana"/>
              </a:rPr>
              <a:t>;POZVYHLEDAT(</a:t>
            </a:r>
            <a:r>
              <a:rPr lang="cs-CZ" sz="1000" b="1" i="0" u="none" strike="noStrike" baseline="0">
                <a:solidFill>
                  <a:srgbClr val="FF0000"/>
                </a:solidFill>
                <a:latin typeface="Verdana"/>
                <a:ea typeface="Verdana"/>
              </a:rPr>
              <a:t>B9</a:t>
            </a:r>
            <a:r>
              <a:rPr lang="cs-CZ" sz="1000" b="1" i="0" u="none" strike="noStrike" baseline="0">
                <a:solidFill>
                  <a:srgbClr val="000000"/>
                </a:solidFill>
                <a:latin typeface="Verdana"/>
                <a:ea typeface="Verdana"/>
              </a:rPr>
              <a:t>;</a:t>
            </a:r>
            <a:r>
              <a:rPr lang="cs-CZ" sz="1000" b="1" i="0" u="none" strike="noStrike" baseline="0">
                <a:solidFill>
                  <a:srgbClr val="008080"/>
                </a:solidFill>
                <a:latin typeface="Verdana"/>
                <a:ea typeface="Verdana"/>
              </a:rPr>
              <a:t>KOD_OBLAST</a:t>
            </a:r>
            <a:r>
              <a:rPr lang="cs-CZ" sz="1000" b="1" i="0" u="none" strike="noStrike" baseline="0">
                <a:solidFill>
                  <a:srgbClr val="000000"/>
                </a:solidFill>
                <a:latin typeface="Verdana"/>
                <a:ea typeface="Verdana"/>
              </a:rPr>
              <a:t>;0)+1;NEPRAVDA)</a:t>
            </a:r>
          </a:p>
        </xdr:txBody>
      </xdr:sp>
      <xdr:grpSp>
        <xdr:nvGrpSpPr>
          <xdr:cNvPr id="6167" name="Group 23">
            <a:extLst>
              <a:ext uri="{FF2B5EF4-FFF2-40B4-BE49-F238E27FC236}">
                <a16:creationId xmlns:a16="http://schemas.microsoft.com/office/drawing/2014/main" id="{11166AFF-085B-4102-AE64-FC3E66E8414E}"/>
              </a:ext>
            </a:extLst>
          </xdr:cNvPr>
          <xdr:cNvGrpSpPr>
            <a:grpSpLocks/>
          </xdr:cNvGrpSpPr>
        </xdr:nvGrpSpPr>
        <xdr:grpSpPr bwMode="auto">
          <a:xfrm>
            <a:off x="493" y="141"/>
            <a:ext cx="38" cy="178"/>
            <a:chOff x="493" y="140"/>
            <a:chExt cx="38" cy="178"/>
          </a:xfrm>
        </xdr:grpSpPr>
        <xdr:sp macro="" textlink="">
          <xdr:nvSpPr>
            <xdr:cNvPr id="6151" name="Line 7">
              <a:extLst>
                <a:ext uri="{FF2B5EF4-FFF2-40B4-BE49-F238E27FC236}">
                  <a16:creationId xmlns:a16="http://schemas.microsoft.com/office/drawing/2014/main" id="{07F7E1AF-1ABC-4F1B-B365-AB8E3DD59C2E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528" y="140"/>
              <a:ext cx="1" cy="178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66" name="Line 22">
              <a:extLst>
                <a:ext uri="{FF2B5EF4-FFF2-40B4-BE49-F238E27FC236}">
                  <a16:creationId xmlns:a16="http://schemas.microsoft.com/office/drawing/2014/main" id="{E20CBA69-8247-4AC0-93B6-8CD6F14280C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93" y="140"/>
              <a:ext cx="38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3</xdr:col>
      <xdr:colOff>220980</xdr:colOff>
      <xdr:row>8</xdr:row>
      <xdr:rowOff>83820</xdr:rowOff>
    </xdr:from>
    <xdr:to>
      <xdr:col>3</xdr:col>
      <xdr:colOff>220980</xdr:colOff>
      <xdr:row>20</xdr:row>
      <xdr:rowOff>99060</xdr:rowOff>
    </xdr:to>
    <xdr:sp macro="" textlink="">
      <xdr:nvSpPr>
        <xdr:cNvPr id="6168" name="Line 24">
          <a:extLst>
            <a:ext uri="{FF2B5EF4-FFF2-40B4-BE49-F238E27FC236}">
              <a16:creationId xmlns:a16="http://schemas.microsoft.com/office/drawing/2014/main" id="{602F0FA6-6DA2-4D32-9DCF-05750B956CBE}"/>
            </a:ext>
          </a:extLst>
        </xdr:cNvPr>
        <xdr:cNvSpPr>
          <a:spLocks noChangeShapeType="1"/>
        </xdr:cNvSpPr>
      </xdr:nvSpPr>
      <xdr:spPr bwMode="auto">
        <a:xfrm>
          <a:off x="3192780" y="1264920"/>
          <a:ext cx="0" cy="182118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289560</xdr:colOff>
      <xdr:row>6</xdr:row>
      <xdr:rowOff>121920</xdr:rowOff>
    </xdr:from>
    <xdr:to>
      <xdr:col>12</xdr:col>
      <xdr:colOff>297180</xdr:colOff>
      <xdr:row>20</xdr:row>
      <xdr:rowOff>121920</xdr:rowOff>
    </xdr:to>
    <xdr:grpSp>
      <xdr:nvGrpSpPr>
        <xdr:cNvPr id="6171" name="Group 27">
          <a:extLst>
            <a:ext uri="{FF2B5EF4-FFF2-40B4-BE49-F238E27FC236}">
              <a16:creationId xmlns:a16="http://schemas.microsoft.com/office/drawing/2014/main" id="{77A2FC88-EF31-4687-B175-B117FED44436}"/>
            </a:ext>
          </a:extLst>
        </xdr:cNvPr>
        <xdr:cNvGrpSpPr>
          <a:grpSpLocks/>
        </xdr:cNvGrpSpPr>
      </xdr:nvGrpSpPr>
      <xdr:grpSpPr bwMode="auto">
        <a:xfrm>
          <a:off x="5902960" y="985520"/>
          <a:ext cx="3114887" cy="2116667"/>
          <a:chOff x="604" y="112"/>
          <a:chExt cx="310" cy="229"/>
        </a:xfrm>
      </xdr:grpSpPr>
      <xdr:sp macro="" textlink="">
        <xdr:nvSpPr>
          <xdr:cNvPr id="6162" name="Line 18">
            <a:extLst>
              <a:ext uri="{FF2B5EF4-FFF2-40B4-BE49-F238E27FC236}">
                <a16:creationId xmlns:a16="http://schemas.microsoft.com/office/drawing/2014/main" id="{EBF36522-5FCA-4AEB-838D-0FAD2994B3BB}"/>
              </a:ext>
            </a:extLst>
          </xdr:cNvPr>
          <xdr:cNvSpPr>
            <a:spLocks noChangeShapeType="1"/>
          </xdr:cNvSpPr>
        </xdr:nvSpPr>
        <xdr:spPr bwMode="auto">
          <a:xfrm flipV="1">
            <a:off x="605" y="295"/>
            <a:ext cx="0" cy="46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80" mc:Ignorable="a14" a14:legacySpreadsheetColorIndex="21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3" name="Line 19">
            <a:extLst>
              <a:ext uri="{FF2B5EF4-FFF2-40B4-BE49-F238E27FC236}">
                <a16:creationId xmlns:a16="http://schemas.microsoft.com/office/drawing/2014/main" id="{B885A40B-E10E-4B19-BA2C-D54FE951FCAC}"/>
              </a:ext>
            </a:extLst>
          </xdr:cNvPr>
          <xdr:cNvSpPr>
            <a:spLocks noChangeShapeType="1"/>
          </xdr:cNvSpPr>
        </xdr:nvSpPr>
        <xdr:spPr bwMode="auto">
          <a:xfrm>
            <a:off x="604" y="295"/>
            <a:ext cx="310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80" mc:Ignorable="a14" a14:legacySpreadsheetColorIndex="2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4" name="Line 20">
            <a:extLst>
              <a:ext uri="{FF2B5EF4-FFF2-40B4-BE49-F238E27FC236}">
                <a16:creationId xmlns:a16="http://schemas.microsoft.com/office/drawing/2014/main" id="{B27E035A-BEB6-4BF9-B0C4-6881A8793BB6}"/>
              </a:ext>
            </a:extLst>
          </xdr:cNvPr>
          <xdr:cNvSpPr>
            <a:spLocks noChangeShapeType="1"/>
          </xdr:cNvSpPr>
        </xdr:nvSpPr>
        <xdr:spPr bwMode="auto">
          <a:xfrm flipV="1">
            <a:off x="912" y="112"/>
            <a:ext cx="0" cy="18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8080" mc:Ignorable="a14" a14:legacySpreadsheetColorIndex="21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0" name="Line 26">
            <a:extLst>
              <a:ext uri="{FF2B5EF4-FFF2-40B4-BE49-F238E27FC236}">
                <a16:creationId xmlns:a16="http://schemas.microsoft.com/office/drawing/2014/main" id="{46BCA47E-7E55-49FA-9D8B-898730D550A0}"/>
              </a:ext>
            </a:extLst>
          </xdr:cNvPr>
          <xdr:cNvSpPr>
            <a:spLocks noChangeShapeType="1"/>
          </xdr:cNvSpPr>
        </xdr:nvSpPr>
        <xdr:spPr bwMode="auto">
          <a:xfrm flipH="1">
            <a:off x="888" y="114"/>
            <a:ext cx="24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8080" mc:Ignorable="a14" a14:legacySpreadsheetColorIndex="21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0</xdr:row>
      <xdr:rowOff>99060</xdr:rowOff>
    </xdr:from>
    <xdr:to>
      <xdr:col>10</xdr:col>
      <xdr:colOff>129540</xdr:colOff>
      <xdr:row>5</xdr:row>
      <xdr:rowOff>38100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D244EC9A-276D-4398-AA3C-B66EA8A6B4C0}"/>
            </a:ext>
          </a:extLst>
        </xdr:cNvPr>
        <xdr:cNvSpPr txBox="1">
          <a:spLocks noChangeArrowheads="1"/>
        </xdr:cNvSpPr>
      </xdr:nvSpPr>
      <xdr:spPr bwMode="auto">
        <a:xfrm>
          <a:off x="1516380" y="99060"/>
          <a:ext cx="6720840" cy="66294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tarifu na základě 2 zadaných kritérií - tarifního pásma a oblasti</a:t>
          </a:r>
        </a:p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- pomocí INDEX() / POZVYHLEDAT() 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=INDEX(DATA1;POZVYHLEDAT(D9;KOD_TARIF2;0);POZVYHLEDAT(B9;KOD_OBLAST2;0))</a:t>
          </a:r>
        </a:p>
      </xdr:txBody>
    </xdr:sp>
    <xdr:clientData/>
  </xdr:twoCellAnchor>
  <xdr:twoCellAnchor>
    <xdr:from>
      <xdr:col>4</xdr:col>
      <xdr:colOff>655320</xdr:colOff>
      <xdr:row>5</xdr:row>
      <xdr:rowOff>38100</xdr:rowOff>
    </xdr:from>
    <xdr:to>
      <xdr:col>5</xdr:col>
      <xdr:colOff>91440</xdr:colOff>
      <xdr:row>8</xdr:row>
      <xdr:rowOff>38100</xdr:rowOff>
    </xdr:to>
    <xdr:sp macro="" textlink="">
      <xdr:nvSpPr>
        <xdr:cNvPr id="8194" name="Line 2">
          <a:extLst>
            <a:ext uri="{FF2B5EF4-FFF2-40B4-BE49-F238E27FC236}">
              <a16:creationId xmlns:a16="http://schemas.microsoft.com/office/drawing/2014/main" id="{BCF639B2-A394-4BF8-A2B8-579FB2BCE4C3}"/>
            </a:ext>
          </a:extLst>
        </xdr:cNvPr>
        <xdr:cNvSpPr>
          <a:spLocks noChangeShapeType="1"/>
        </xdr:cNvSpPr>
      </xdr:nvSpPr>
      <xdr:spPr bwMode="auto">
        <a:xfrm flipH="1">
          <a:off x="4343400" y="762000"/>
          <a:ext cx="121920" cy="449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7620</xdr:rowOff>
    </xdr:from>
    <xdr:to>
      <xdr:col>14</xdr:col>
      <xdr:colOff>182880</xdr:colOff>
      <xdr:row>3</xdr:row>
      <xdr:rowOff>68580</xdr:rowOff>
    </xdr:to>
    <xdr:sp macro="" textlink="">
      <xdr:nvSpPr>
        <xdr:cNvPr id="28673" name="Text Box 1">
          <a:extLst>
            <a:ext uri="{FF2B5EF4-FFF2-40B4-BE49-F238E27FC236}">
              <a16:creationId xmlns:a16="http://schemas.microsoft.com/office/drawing/2014/main" id="{02D1A548-B2B7-41F9-BB7B-C8B915930A9A}"/>
            </a:ext>
          </a:extLst>
        </xdr:cNvPr>
        <xdr:cNvSpPr txBox="1">
          <a:spLocks noChangeArrowheads="1"/>
        </xdr:cNvSpPr>
      </xdr:nvSpPr>
      <xdr:spPr bwMode="auto">
        <a:xfrm>
          <a:off x="1463040" y="342900"/>
          <a:ext cx="438912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=INDEX(tarif;POZVYHLEDAT(B1;kategorie;0);POZVYHLEDAT(B2;sazba;1))</a:t>
          </a:r>
        </a:p>
      </xdr:txBody>
    </xdr:sp>
    <xdr:clientData/>
  </xdr:twoCellAnchor>
  <xdr:twoCellAnchor>
    <xdr:from>
      <xdr:col>2</xdr:col>
      <xdr:colOff>76200</xdr:colOff>
      <xdr:row>3</xdr:row>
      <xdr:rowOff>7620</xdr:rowOff>
    </xdr:from>
    <xdr:to>
      <xdr:col>3</xdr:col>
      <xdr:colOff>76200</xdr:colOff>
      <xdr:row>3</xdr:row>
      <xdr:rowOff>76200</xdr:rowOff>
    </xdr:to>
    <xdr:sp macro="" textlink="">
      <xdr:nvSpPr>
        <xdr:cNvPr id="28674" name="Line 2">
          <a:extLst>
            <a:ext uri="{FF2B5EF4-FFF2-40B4-BE49-F238E27FC236}">
              <a16:creationId xmlns:a16="http://schemas.microsoft.com/office/drawing/2014/main" id="{9458F835-A425-48BD-98DF-64BF24EA88B8}"/>
            </a:ext>
          </a:extLst>
        </xdr:cNvPr>
        <xdr:cNvSpPr>
          <a:spLocks noChangeShapeType="1"/>
        </xdr:cNvSpPr>
      </xdr:nvSpPr>
      <xdr:spPr bwMode="auto">
        <a:xfrm flipH="1">
          <a:off x="1234440" y="510540"/>
          <a:ext cx="2286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297180</xdr:colOff>
      <xdr:row>0</xdr:row>
      <xdr:rowOff>114300</xdr:rowOff>
    </xdr:from>
    <xdr:to>
      <xdr:col>24</xdr:col>
      <xdr:colOff>518160</xdr:colOff>
      <xdr:row>3</xdr:row>
      <xdr:rowOff>114300</xdr:rowOff>
    </xdr:to>
    <xdr:sp macro="" textlink="">
      <xdr:nvSpPr>
        <xdr:cNvPr id="28675" name="Text Box 3">
          <a:extLst>
            <a:ext uri="{FF2B5EF4-FFF2-40B4-BE49-F238E27FC236}">
              <a16:creationId xmlns:a16="http://schemas.microsoft.com/office/drawing/2014/main" id="{BA4B7122-F215-4F4D-B13A-92C7B5394BE6}"/>
            </a:ext>
          </a:extLst>
        </xdr:cNvPr>
        <xdr:cNvSpPr txBox="1">
          <a:spLocks noChangeArrowheads="1"/>
        </xdr:cNvSpPr>
      </xdr:nvSpPr>
      <xdr:spPr bwMode="auto">
        <a:xfrm>
          <a:off x="5966460" y="114300"/>
          <a:ext cx="4282440" cy="50292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tarifu na základě křížového pravidla</a:t>
          </a:r>
        </a:p>
      </xdr:txBody>
    </xdr:sp>
    <xdr:clientData/>
  </xdr:twoCellAnchor>
  <xdr:twoCellAnchor editAs="oneCell">
    <xdr:from>
      <xdr:col>14</xdr:col>
      <xdr:colOff>297180</xdr:colOff>
      <xdr:row>7</xdr:row>
      <xdr:rowOff>59730</xdr:rowOff>
    </xdr:from>
    <xdr:to>
      <xdr:col>23</xdr:col>
      <xdr:colOff>251460</xdr:colOff>
      <xdr:row>16</xdr:row>
      <xdr:rowOff>85725</xdr:rowOff>
    </xdr:to>
    <xdr:pic>
      <xdr:nvPicPr>
        <xdr:cNvPr id="3" name="Obráz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4AD9AC-1137-458D-B18D-72C29E6FD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6460" y="1248450"/>
          <a:ext cx="3482340" cy="15423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8</xdr:row>
      <xdr:rowOff>7620</xdr:rowOff>
    </xdr:from>
    <xdr:to>
      <xdr:col>5</xdr:col>
      <xdr:colOff>609600</xdr:colOff>
      <xdr:row>9</xdr:row>
      <xdr:rowOff>99060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BAB8E2A2-BDF1-494F-843C-C23E6FB8E85A}"/>
            </a:ext>
          </a:extLst>
        </xdr:cNvPr>
        <xdr:cNvSpPr txBox="1">
          <a:spLocks noChangeArrowheads="1"/>
        </xdr:cNvSpPr>
      </xdr:nvSpPr>
      <xdr:spPr bwMode="auto">
        <a:xfrm>
          <a:off x="472440" y="1173480"/>
          <a:ext cx="3893820" cy="236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=INDEX(BASE;POZVYHLEDAT($C$3&amp;$D$3;PRIJMENI_JMENO;0);6)</a:t>
          </a:r>
        </a:p>
      </xdr:txBody>
    </xdr:sp>
    <xdr:clientData fPrintsWithSheet="0"/>
  </xdr:twoCellAnchor>
  <xdr:twoCellAnchor>
    <xdr:from>
      <xdr:col>2</xdr:col>
      <xdr:colOff>693420</xdr:colOff>
      <xdr:row>6</xdr:row>
      <xdr:rowOff>121920</xdr:rowOff>
    </xdr:from>
    <xdr:to>
      <xdr:col>2</xdr:col>
      <xdr:colOff>762000</xdr:colOff>
      <xdr:row>7</xdr:row>
      <xdr:rowOff>152400</xdr:rowOff>
    </xdr:to>
    <xdr:sp macro="" textlink="">
      <xdr:nvSpPr>
        <xdr:cNvPr id="14338" name="Line 2">
          <a:extLst>
            <a:ext uri="{FF2B5EF4-FFF2-40B4-BE49-F238E27FC236}">
              <a16:creationId xmlns:a16="http://schemas.microsoft.com/office/drawing/2014/main" id="{CADEFF79-EDD1-4039-875A-6470C0E1ED25}"/>
            </a:ext>
          </a:extLst>
        </xdr:cNvPr>
        <xdr:cNvSpPr>
          <a:spLocks noChangeShapeType="1"/>
        </xdr:cNvSpPr>
      </xdr:nvSpPr>
      <xdr:spPr bwMode="auto">
        <a:xfrm flipH="1" flipV="1">
          <a:off x="1310640" y="998220"/>
          <a:ext cx="6858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</xdr:row>
      <xdr:rowOff>7620</xdr:rowOff>
    </xdr:from>
    <xdr:to>
      <xdr:col>5</xdr:col>
      <xdr:colOff>762000</xdr:colOff>
      <xdr:row>3</xdr:row>
      <xdr:rowOff>0</xdr:rowOff>
    </xdr:to>
    <xdr:sp macro="" textlink="">
      <xdr:nvSpPr>
        <xdr:cNvPr id="14339" name="Text Box 3">
          <a:extLst>
            <a:ext uri="{FF2B5EF4-FFF2-40B4-BE49-F238E27FC236}">
              <a16:creationId xmlns:a16="http://schemas.microsoft.com/office/drawing/2014/main" id="{25C4FCA1-7400-42C3-A4BD-42B0E10C8D0A}"/>
            </a:ext>
          </a:extLst>
        </xdr:cNvPr>
        <xdr:cNvSpPr txBox="1">
          <a:spLocks noChangeArrowheads="1"/>
        </xdr:cNvSpPr>
      </xdr:nvSpPr>
      <xdr:spPr bwMode="auto">
        <a:xfrm>
          <a:off x="3314700" y="304800"/>
          <a:ext cx="1203960" cy="137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výběr ze seznamu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</xdr:txBody>
    </xdr:sp>
    <xdr:clientData/>
  </xdr:twoCellAnchor>
  <xdr:twoCellAnchor>
    <xdr:from>
      <xdr:col>4</xdr:col>
      <xdr:colOff>144780</xdr:colOff>
      <xdr:row>2</xdr:row>
      <xdr:rowOff>83820</xdr:rowOff>
    </xdr:from>
    <xdr:to>
      <xdr:col>4</xdr:col>
      <xdr:colOff>419100</xdr:colOff>
      <xdr:row>2</xdr:row>
      <xdr:rowOff>83820</xdr:rowOff>
    </xdr:to>
    <xdr:sp macro="" textlink="">
      <xdr:nvSpPr>
        <xdr:cNvPr id="14340" name="Line 4">
          <a:extLst>
            <a:ext uri="{FF2B5EF4-FFF2-40B4-BE49-F238E27FC236}">
              <a16:creationId xmlns:a16="http://schemas.microsoft.com/office/drawing/2014/main" id="{72F0ABF4-AD50-4E62-9653-F0971C0ABD90}"/>
            </a:ext>
          </a:extLst>
        </xdr:cNvPr>
        <xdr:cNvSpPr>
          <a:spLocks noChangeShapeType="1"/>
        </xdr:cNvSpPr>
      </xdr:nvSpPr>
      <xdr:spPr bwMode="auto">
        <a:xfrm flipH="1">
          <a:off x="3040380" y="381000"/>
          <a:ext cx="274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0</xdr:row>
      <xdr:rowOff>137160</xdr:rowOff>
    </xdr:from>
    <xdr:to>
      <xdr:col>12</xdr:col>
      <xdr:colOff>228600</xdr:colOff>
      <xdr:row>4</xdr:row>
      <xdr:rowOff>114300</xdr:rowOff>
    </xdr:to>
    <xdr:sp macro="" textlink="">
      <xdr:nvSpPr>
        <xdr:cNvPr id="14341" name="Text Box 5">
          <a:extLst>
            <a:ext uri="{FF2B5EF4-FFF2-40B4-BE49-F238E27FC236}">
              <a16:creationId xmlns:a16="http://schemas.microsoft.com/office/drawing/2014/main" id="{CEA4C2A6-9EAB-420E-A62D-9693FF5BF4BE}"/>
            </a:ext>
          </a:extLst>
        </xdr:cNvPr>
        <xdr:cNvSpPr txBox="1">
          <a:spLocks noChangeArrowheads="1"/>
        </xdr:cNvSpPr>
      </xdr:nvSpPr>
      <xdr:spPr bwMode="auto">
        <a:xfrm>
          <a:off x="5151120" y="137160"/>
          <a:ext cx="4625340" cy="5638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-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záznamu v tabulce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BASE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na základě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Příjmení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v buňce C3 a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Jména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v buňce D3 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-pro vyhledání záznamu jsou použity hodnoty v pomocném sloupci  (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J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) vytvářené vzorcem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=H9&amp;I9</a:t>
          </a:r>
        </a:p>
      </xdr:txBody>
    </xdr:sp>
    <xdr:clientData/>
  </xdr:twoCellAnchor>
  <xdr:twoCellAnchor>
    <xdr:from>
      <xdr:col>9</xdr:col>
      <xdr:colOff>518160</xdr:colOff>
      <xdr:row>5</xdr:row>
      <xdr:rowOff>30480</xdr:rowOff>
    </xdr:from>
    <xdr:to>
      <xdr:col>9</xdr:col>
      <xdr:colOff>960120</xdr:colOff>
      <xdr:row>6</xdr:row>
      <xdr:rowOff>38100</xdr:rowOff>
    </xdr:to>
    <xdr:sp macro="" textlink="">
      <xdr:nvSpPr>
        <xdr:cNvPr id="14343" name="Text Box 7">
          <a:extLst>
            <a:ext uri="{FF2B5EF4-FFF2-40B4-BE49-F238E27FC236}">
              <a16:creationId xmlns:a16="http://schemas.microsoft.com/office/drawing/2014/main" id="{DE46CAA1-E5DE-40C2-9AF9-5AD70145F2A8}"/>
            </a:ext>
          </a:extLst>
        </xdr:cNvPr>
        <xdr:cNvSpPr txBox="1">
          <a:spLocks noChangeArrowheads="1"/>
        </xdr:cNvSpPr>
      </xdr:nvSpPr>
      <xdr:spPr bwMode="auto">
        <a:xfrm>
          <a:off x="7056120" y="762000"/>
          <a:ext cx="44196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=H9&amp;I9</a:t>
          </a:r>
        </a:p>
      </xdr:txBody>
    </xdr:sp>
    <xdr:clientData/>
  </xdr:twoCellAnchor>
  <xdr:twoCellAnchor>
    <xdr:from>
      <xdr:col>9</xdr:col>
      <xdr:colOff>685800</xdr:colOff>
      <xdr:row>6</xdr:row>
      <xdr:rowOff>38100</xdr:rowOff>
    </xdr:from>
    <xdr:to>
      <xdr:col>9</xdr:col>
      <xdr:colOff>754380</xdr:colOff>
      <xdr:row>7</xdr:row>
      <xdr:rowOff>7620</xdr:rowOff>
    </xdr:to>
    <xdr:sp macro="" textlink="">
      <xdr:nvSpPr>
        <xdr:cNvPr id="14344" name="Line 8">
          <a:extLst>
            <a:ext uri="{FF2B5EF4-FFF2-40B4-BE49-F238E27FC236}">
              <a16:creationId xmlns:a16="http://schemas.microsoft.com/office/drawing/2014/main" id="{1B2EF4E3-AA93-4714-B4A3-D487758C8D44}"/>
            </a:ext>
          </a:extLst>
        </xdr:cNvPr>
        <xdr:cNvSpPr>
          <a:spLocks noChangeShapeType="1"/>
        </xdr:cNvSpPr>
      </xdr:nvSpPr>
      <xdr:spPr bwMode="auto">
        <a:xfrm flipH="1">
          <a:off x="7223760" y="914400"/>
          <a:ext cx="6858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8</xdr:row>
      <xdr:rowOff>45720</xdr:rowOff>
    </xdr:from>
    <xdr:to>
      <xdr:col>5</xdr:col>
      <xdr:colOff>647700</xdr:colOff>
      <xdr:row>14</xdr:row>
      <xdr:rowOff>106680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8799C65-D921-4F0A-BA87-69451B0C46D8}"/>
            </a:ext>
          </a:extLst>
        </xdr:cNvPr>
        <xdr:cNvSpPr txBox="1">
          <a:spLocks noChangeArrowheads="1"/>
        </xdr:cNvSpPr>
      </xdr:nvSpPr>
      <xdr:spPr bwMode="auto">
        <a:xfrm>
          <a:off x="571500" y="1219200"/>
          <a:ext cx="3832860" cy="92964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{=KDYŽ(JE.NEDEF(POZVYHLEDAT($C$3&amp;$D$3;prijmeni2&amp;jmeno2;0));"Nenalezeno";INDEX(base;POZVYHLEDAT($C$3&amp;$D$3;prijmeni2&amp;jmeno2;0);5))}</a:t>
          </a:r>
        </a:p>
        <a:p>
          <a:pPr algn="l" rtl="0">
            <a:lnSpc>
              <a:spcPts val="900"/>
            </a:lnSpc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lnSpc>
              <a:spcPts val="800"/>
            </a:lnSpc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Verdana"/>
              <a:ea typeface="Verdana"/>
            </a:rPr>
            <a:t>Zadáme pomocí Ctrl+Shift+Enter (maticový vzorec)</a:t>
          </a: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lnSpc>
              <a:spcPts val="800"/>
            </a:lnSpc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</xdr:txBody>
    </xdr:sp>
    <xdr:clientData fPrintsWithSheet="0"/>
  </xdr:twoCellAnchor>
  <xdr:twoCellAnchor>
    <xdr:from>
      <xdr:col>2</xdr:col>
      <xdr:colOff>693420</xdr:colOff>
      <xdr:row>7</xdr:row>
      <xdr:rowOff>22860</xdr:rowOff>
    </xdr:from>
    <xdr:to>
      <xdr:col>2</xdr:col>
      <xdr:colOff>762000</xdr:colOff>
      <xdr:row>8</xdr:row>
      <xdr:rowOff>38100</xdr:rowOff>
    </xdr:to>
    <xdr:sp macro="" textlink="">
      <xdr:nvSpPr>
        <xdr:cNvPr id="10242" name="Line 2">
          <a:extLst>
            <a:ext uri="{FF2B5EF4-FFF2-40B4-BE49-F238E27FC236}">
              <a16:creationId xmlns:a16="http://schemas.microsoft.com/office/drawing/2014/main" id="{A50132CA-FFAE-4261-BA8C-AD8E67D05B5E}"/>
            </a:ext>
          </a:extLst>
        </xdr:cNvPr>
        <xdr:cNvSpPr>
          <a:spLocks noChangeShapeType="1"/>
        </xdr:cNvSpPr>
      </xdr:nvSpPr>
      <xdr:spPr bwMode="auto">
        <a:xfrm flipH="1" flipV="1">
          <a:off x="1310640" y="1051560"/>
          <a:ext cx="68580" cy="160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</xdr:row>
      <xdr:rowOff>7620</xdr:rowOff>
    </xdr:from>
    <xdr:to>
      <xdr:col>5</xdr:col>
      <xdr:colOff>762000</xdr:colOff>
      <xdr:row>3</xdr:row>
      <xdr:rowOff>0</xdr:rowOff>
    </xdr:to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BEFD10C3-6912-4828-9DE7-63665D8B9708}"/>
            </a:ext>
          </a:extLst>
        </xdr:cNvPr>
        <xdr:cNvSpPr txBox="1">
          <a:spLocks noChangeArrowheads="1"/>
        </xdr:cNvSpPr>
      </xdr:nvSpPr>
      <xdr:spPr bwMode="auto">
        <a:xfrm>
          <a:off x="3314700" y="304800"/>
          <a:ext cx="1203960" cy="137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00" mc:Ignorable="a14" a14:legacySpreadsheetColorIndex="5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FFFFFF"/>
              </a:solidFill>
              <a:latin typeface="Verdana"/>
              <a:ea typeface="Verdana"/>
            </a:rPr>
            <a:t>výběr ze seznamu</a:t>
          </a:r>
        </a:p>
      </xdr:txBody>
    </xdr:sp>
    <xdr:clientData/>
  </xdr:twoCellAnchor>
  <xdr:twoCellAnchor>
    <xdr:from>
      <xdr:col>4</xdr:col>
      <xdr:colOff>144780</xdr:colOff>
      <xdr:row>2</xdr:row>
      <xdr:rowOff>83820</xdr:rowOff>
    </xdr:from>
    <xdr:to>
      <xdr:col>4</xdr:col>
      <xdr:colOff>419100</xdr:colOff>
      <xdr:row>2</xdr:row>
      <xdr:rowOff>83820</xdr:rowOff>
    </xdr:to>
    <xdr:sp macro="" textlink="">
      <xdr:nvSpPr>
        <xdr:cNvPr id="10244" name="Line 4">
          <a:extLst>
            <a:ext uri="{FF2B5EF4-FFF2-40B4-BE49-F238E27FC236}">
              <a16:creationId xmlns:a16="http://schemas.microsoft.com/office/drawing/2014/main" id="{5915F939-F9C1-4BB0-AA92-BCC38340DD69}"/>
            </a:ext>
          </a:extLst>
        </xdr:cNvPr>
        <xdr:cNvSpPr>
          <a:spLocks noChangeShapeType="1"/>
        </xdr:cNvSpPr>
      </xdr:nvSpPr>
      <xdr:spPr bwMode="auto">
        <a:xfrm flipH="1">
          <a:off x="3040380" y="381000"/>
          <a:ext cx="274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99060</xdr:colOff>
      <xdr:row>0</xdr:row>
      <xdr:rowOff>76200</xdr:rowOff>
    </xdr:from>
    <xdr:to>
      <xdr:col>12</xdr:col>
      <xdr:colOff>373380</xdr:colOff>
      <xdr:row>3</xdr:row>
      <xdr:rowOff>22860</xdr:rowOff>
    </xdr:to>
    <xdr:sp macro="" textlink="">
      <xdr:nvSpPr>
        <xdr:cNvPr id="10245" name="Text Box 5">
          <a:extLst>
            <a:ext uri="{FF2B5EF4-FFF2-40B4-BE49-F238E27FC236}">
              <a16:creationId xmlns:a16="http://schemas.microsoft.com/office/drawing/2014/main" id="{66AD2CE9-AC6E-4A8D-95B8-688660DE5297}"/>
            </a:ext>
          </a:extLst>
        </xdr:cNvPr>
        <xdr:cNvSpPr txBox="1">
          <a:spLocks noChangeArrowheads="1"/>
        </xdr:cNvSpPr>
      </xdr:nvSpPr>
      <xdr:spPr bwMode="auto">
        <a:xfrm>
          <a:off x="5257800" y="76200"/>
          <a:ext cx="4381500" cy="38862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-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záznamu v tabulce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base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na základě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Příjmení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v buňce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C3 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a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Jména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v buňce 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D3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83820</xdr:rowOff>
    </xdr:from>
    <xdr:to>
      <xdr:col>12</xdr:col>
      <xdr:colOff>472440</xdr:colOff>
      <xdr:row>6</xdr:row>
      <xdr:rowOff>30480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386D9331-634F-415B-878D-95AF0D00A2E4}"/>
            </a:ext>
          </a:extLst>
        </xdr:cNvPr>
        <xdr:cNvSpPr txBox="1">
          <a:spLocks noChangeArrowheads="1"/>
        </xdr:cNvSpPr>
      </xdr:nvSpPr>
      <xdr:spPr bwMode="auto">
        <a:xfrm>
          <a:off x="2468880" y="83820"/>
          <a:ext cx="6225540" cy="9067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Transformace sloupců v tabulce</a:t>
          </a: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-vybereme oblast buněk 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G8:I10</a:t>
          </a: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{=KDYŽ(JE.NEDEF(POZVYHLEDAT($F9&amp;G$8;JMENO&amp;KVARTAL;0));"";INDEX(PRODUKT;POZVYHLEDAT($F9&amp;G$8;JMENO&amp;KVARTAL;0)))}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vzorec zadáme pomocí Ctrl+Shift+Enter  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(jedná se o maticový vzorec)</a:t>
          </a:r>
        </a:p>
      </xdr:txBody>
    </xdr:sp>
    <xdr:clientData/>
  </xdr:twoCellAnchor>
  <xdr:twoCellAnchor>
    <xdr:from>
      <xdr:col>6</xdr:col>
      <xdr:colOff>388620</xdr:colOff>
      <xdr:row>5</xdr:row>
      <xdr:rowOff>91440</xdr:rowOff>
    </xdr:from>
    <xdr:to>
      <xdr:col>6</xdr:col>
      <xdr:colOff>533400</xdr:colOff>
      <xdr:row>7</xdr:row>
      <xdr:rowOff>38100</xdr:rowOff>
    </xdr:to>
    <xdr:sp macro="" textlink="">
      <xdr:nvSpPr>
        <xdr:cNvPr id="11266" name="Line 2">
          <a:extLst>
            <a:ext uri="{FF2B5EF4-FFF2-40B4-BE49-F238E27FC236}">
              <a16:creationId xmlns:a16="http://schemas.microsoft.com/office/drawing/2014/main" id="{3E8BE308-D15F-4E6B-89EC-10F83690C343}"/>
            </a:ext>
          </a:extLst>
        </xdr:cNvPr>
        <xdr:cNvSpPr>
          <a:spLocks noChangeShapeType="1"/>
        </xdr:cNvSpPr>
      </xdr:nvSpPr>
      <xdr:spPr bwMode="auto">
        <a:xfrm flipH="1">
          <a:off x="4122420" y="891540"/>
          <a:ext cx="14478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335280</xdr:colOff>
      <xdr:row>7</xdr:row>
      <xdr:rowOff>106680</xdr:rowOff>
    </xdr:from>
    <xdr:to>
      <xdr:col>11</xdr:col>
      <xdr:colOff>617220</xdr:colOff>
      <xdr:row>8</xdr:row>
      <xdr:rowOff>144780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2C87642D-8FB2-4F00-A9E6-5F449CF2DF4C}"/>
            </a:ext>
          </a:extLst>
        </xdr:cNvPr>
        <xdr:cNvSpPr txBox="1">
          <a:spLocks noChangeArrowheads="1"/>
        </xdr:cNvSpPr>
      </xdr:nvSpPr>
      <xdr:spPr bwMode="auto">
        <a:xfrm>
          <a:off x="5974080" y="1226820"/>
          <a:ext cx="2004060" cy="198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Verdana"/>
              <a:ea typeface="Verdana"/>
            </a:rPr>
            <a:t>požadovaný tvar tabulky</a:t>
          </a:r>
        </a:p>
      </xdr:txBody>
    </xdr:sp>
    <xdr:clientData/>
  </xdr:twoCellAnchor>
  <xdr:twoCellAnchor>
    <xdr:from>
      <xdr:col>9</xdr:col>
      <xdr:colOff>38100</xdr:colOff>
      <xdr:row>8</xdr:row>
      <xdr:rowOff>45720</xdr:rowOff>
    </xdr:from>
    <xdr:to>
      <xdr:col>9</xdr:col>
      <xdr:colOff>289560</xdr:colOff>
      <xdr:row>8</xdr:row>
      <xdr:rowOff>76200</xdr:rowOff>
    </xdr:to>
    <xdr:sp macro="" textlink="">
      <xdr:nvSpPr>
        <xdr:cNvPr id="11268" name="Line 4">
          <a:extLst>
            <a:ext uri="{FF2B5EF4-FFF2-40B4-BE49-F238E27FC236}">
              <a16:creationId xmlns:a16="http://schemas.microsoft.com/office/drawing/2014/main" id="{A235240B-E5E6-4D77-AC90-BDEBAA571881}"/>
            </a:ext>
          </a:extLst>
        </xdr:cNvPr>
        <xdr:cNvSpPr>
          <a:spLocks noChangeShapeType="1"/>
        </xdr:cNvSpPr>
      </xdr:nvSpPr>
      <xdr:spPr bwMode="auto">
        <a:xfrm flipH="1">
          <a:off x="5676900" y="1325880"/>
          <a:ext cx="251460" cy="30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129540</xdr:colOff>
      <xdr:row>10</xdr:row>
      <xdr:rowOff>30480</xdr:rowOff>
    </xdr:from>
    <xdr:to>
      <xdr:col>4</xdr:col>
      <xdr:colOff>22860</xdr:colOff>
      <xdr:row>11</xdr:row>
      <xdr:rowOff>30480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B8B251F0-6583-4024-B111-28E2B61544BB}"/>
            </a:ext>
          </a:extLst>
        </xdr:cNvPr>
        <xdr:cNvSpPr txBox="1">
          <a:spLocks noChangeArrowheads="1"/>
        </xdr:cNvSpPr>
      </xdr:nvSpPr>
      <xdr:spPr bwMode="auto">
        <a:xfrm>
          <a:off x="609600" y="1600200"/>
          <a:ext cx="176784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Verdana"/>
              <a:ea typeface="Verdana"/>
            </a:rPr>
            <a:t>původní tvar tabulky</a:t>
          </a:r>
        </a:p>
      </xdr:txBody>
    </xdr:sp>
    <xdr:clientData/>
  </xdr:twoCellAnchor>
  <xdr:twoCellAnchor>
    <xdr:from>
      <xdr:col>2</xdr:col>
      <xdr:colOff>502920</xdr:colOff>
      <xdr:row>8</xdr:row>
      <xdr:rowOff>15240</xdr:rowOff>
    </xdr:from>
    <xdr:to>
      <xdr:col>3</xdr:col>
      <xdr:colOff>91440</xdr:colOff>
      <xdr:row>10</xdr:row>
      <xdr:rowOff>38100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1DEDF0AA-64BD-40B6-98BF-C87D82B06DB1}"/>
            </a:ext>
          </a:extLst>
        </xdr:cNvPr>
        <xdr:cNvSpPr>
          <a:spLocks noChangeShapeType="1"/>
        </xdr:cNvSpPr>
      </xdr:nvSpPr>
      <xdr:spPr bwMode="auto">
        <a:xfrm flipH="1" flipV="1">
          <a:off x="1607820" y="1295400"/>
          <a:ext cx="198120" cy="312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198120</xdr:rowOff>
    </xdr:from>
    <xdr:to>
      <xdr:col>4</xdr:col>
      <xdr:colOff>624840</xdr:colOff>
      <xdr:row>2</xdr:row>
      <xdr:rowOff>175260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id="{81B5FD3A-C747-4B1A-9529-E7F3F3C68E78}"/>
            </a:ext>
          </a:extLst>
        </xdr:cNvPr>
        <xdr:cNvSpPr txBox="1">
          <a:spLocks noChangeArrowheads="1"/>
        </xdr:cNvSpPr>
      </xdr:nvSpPr>
      <xdr:spPr bwMode="auto">
        <a:xfrm>
          <a:off x="655320" y="198120"/>
          <a:ext cx="4175760" cy="388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=KDYŽ(JE.NEDEF(SVYHLEDAT(A9;Tabulka_Produkty;2;NEPRAVDA));"";  SVYHLEDAT(A9;Tabulka_Produkty;2;NEPRAVDA))</a:t>
          </a:r>
        </a:p>
      </xdr:txBody>
    </xdr:sp>
    <xdr:clientData/>
  </xdr:twoCellAnchor>
  <xdr:twoCellAnchor>
    <xdr:from>
      <xdr:col>1</xdr:col>
      <xdr:colOff>723900</xdr:colOff>
      <xdr:row>2</xdr:row>
      <xdr:rowOff>0</xdr:rowOff>
    </xdr:from>
    <xdr:to>
      <xdr:col>1</xdr:col>
      <xdr:colOff>891540</xdr:colOff>
      <xdr:row>8</xdr:row>
      <xdr:rowOff>53340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5B3E6FDE-E608-47DB-8A98-C5619C466A8C}"/>
            </a:ext>
          </a:extLst>
        </xdr:cNvPr>
        <xdr:cNvSpPr>
          <a:spLocks noChangeShapeType="1"/>
        </xdr:cNvSpPr>
      </xdr:nvSpPr>
      <xdr:spPr bwMode="auto">
        <a:xfrm>
          <a:off x="1379220" y="411480"/>
          <a:ext cx="167640" cy="1059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403860</xdr:colOff>
      <xdr:row>19</xdr:row>
      <xdr:rowOff>38100</xdr:rowOff>
    </xdr:from>
    <xdr:to>
      <xdr:col>2</xdr:col>
      <xdr:colOff>495300</xdr:colOff>
      <xdr:row>20</xdr:row>
      <xdr:rowOff>38100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43359320-B4FD-4971-8FCB-405D0F7F2A95}"/>
            </a:ext>
          </a:extLst>
        </xdr:cNvPr>
        <xdr:cNvSpPr txBox="1">
          <a:spLocks noChangeArrowheads="1"/>
        </xdr:cNvSpPr>
      </xdr:nvSpPr>
      <xdr:spPr bwMode="auto">
        <a:xfrm>
          <a:off x="1059180" y="3063240"/>
          <a:ext cx="215646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=SVYHLEDAT(E20;Tabulka_slevy;2)</a:t>
          </a:r>
        </a:p>
      </xdr:txBody>
    </xdr:sp>
    <xdr:clientData/>
  </xdr:twoCellAnchor>
  <xdr:twoCellAnchor>
    <xdr:from>
      <xdr:col>2</xdr:col>
      <xdr:colOff>487680</xdr:colOff>
      <xdr:row>19</xdr:row>
      <xdr:rowOff>91440</xdr:rowOff>
    </xdr:from>
    <xdr:to>
      <xdr:col>4</xdr:col>
      <xdr:colOff>45720</xdr:colOff>
      <xdr:row>20</xdr:row>
      <xdr:rowOff>121920</xdr:rowOff>
    </xdr:to>
    <xdr:sp macro="" textlink="">
      <xdr:nvSpPr>
        <xdr:cNvPr id="13316" name="Line 4">
          <a:extLst>
            <a:ext uri="{FF2B5EF4-FFF2-40B4-BE49-F238E27FC236}">
              <a16:creationId xmlns:a16="http://schemas.microsoft.com/office/drawing/2014/main" id="{FFA69A2A-8B69-4ECC-A86E-4EB6097928A6}"/>
            </a:ext>
          </a:extLst>
        </xdr:cNvPr>
        <xdr:cNvSpPr>
          <a:spLocks noChangeShapeType="1"/>
        </xdr:cNvSpPr>
      </xdr:nvSpPr>
      <xdr:spPr bwMode="auto">
        <a:xfrm>
          <a:off x="3208020" y="3116580"/>
          <a:ext cx="1043940" cy="160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304800</xdr:colOff>
      <xdr:row>26</xdr:row>
      <xdr:rowOff>91440</xdr:rowOff>
    </xdr:from>
    <xdr:to>
      <xdr:col>5</xdr:col>
      <xdr:colOff>182880</xdr:colOff>
      <xdr:row>30</xdr:row>
      <xdr:rowOff>121920</xdr:rowOff>
    </xdr:to>
    <xdr:sp macro="" textlink="">
      <xdr:nvSpPr>
        <xdr:cNvPr id="13325" name="Text Box 13">
          <a:extLst>
            <a:ext uri="{FF2B5EF4-FFF2-40B4-BE49-F238E27FC236}">
              <a16:creationId xmlns:a16="http://schemas.microsoft.com/office/drawing/2014/main" id="{049425D5-6453-4430-8442-29C1B36B4BCA}"/>
            </a:ext>
          </a:extLst>
        </xdr:cNvPr>
        <xdr:cNvSpPr txBox="1">
          <a:spLocks noChangeArrowheads="1"/>
        </xdr:cNvSpPr>
      </xdr:nvSpPr>
      <xdr:spPr bwMode="auto">
        <a:xfrm>
          <a:off x="304800" y="4046220"/>
          <a:ext cx="4884420" cy="624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Pokud </a:t>
          </a: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VYNECHÁME</a:t>
          </a: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poslední argument funkce SVYHLEDAT (pravda nebo nepravda, případně 1 nebo 0), použije se přibližné vyhledávání (není-li nalezena hodnota přesně odpovídající hledané hodnotě, vrátí funkce největší hodnotu menší než hledat). </a:t>
          </a:r>
        </a:p>
      </xdr:txBody>
    </xdr:sp>
    <xdr:clientData/>
  </xdr:twoCellAnchor>
  <xdr:twoCellAnchor>
    <xdr:from>
      <xdr:col>5</xdr:col>
      <xdr:colOff>30480</xdr:colOff>
      <xdr:row>21</xdr:row>
      <xdr:rowOff>76200</xdr:rowOff>
    </xdr:from>
    <xdr:to>
      <xdr:col>5</xdr:col>
      <xdr:colOff>30480</xdr:colOff>
      <xdr:row>26</xdr:row>
      <xdr:rowOff>83820</xdr:rowOff>
    </xdr:to>
    <xdr:sp macro="" textlink="">
      <xdr:nvSpPr>
        <xdr:cNvPr id="13326" name="Line 14">
          <a:extLst>
            <a:ext uri="{FF2B5EF4-FFF2-40B4-BE49-F238E27FC236}">
              <a16:creationId xmlns:a16="http://schemas.microsoft.com/office/drawing/2014/main" id="{7D7910C6-650B-4AD9-9D0D-7CC90A48C317}"/>
            </a:ext>
          </a:extLst>
        </xdr:cNvPr>
        <xdr:cNvSpPr>
          <a:spLocks noChangeShapeType="1"/>
        </xdr:cNvSpPr>
      </xdr:nvSpPr>
      <xdr:spPr bwMode="auto">
        <a:xfrm flipV="1">
          <a:off x="5036820" y="3360420"/>
          <a:ext cx="0" cy="678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83820</xdr:rowOff>
    </xdr:from>
    <xdr:to>
      <xdr:col>4</xdr:col>
      <xdr:colOff>731520</xdr:colOff>
      <xdr:row>5</xdr:row>
      <xdr:rowOff>121920</xdr:rowOff>
    </xdr:to>
    <xdr:sp macro="" textlink="">
      <xdr:nvSpPr>
        <xdr:cNvPr id="26625" name="Text Box 1">
          <a:extLst>
            <a:ext uri="{FF2B5EF4-FFF2-40B4-BE49-F238E27FC236}">
              <a16:creationId xmlns:a16="http://schemas.microsoft.com/office/drawing/2014/main" id="{F138126F-3F2C-4736-A962-B51A1C2FFE92}"/>
            </a:ext>
          </a:extLst>
        </xdr:cNvPr>
        <xdr:cNvSpPr txBox="1">
          <a:spLocks noChangeArrowheads="1"/>
        </xdr:cNvSpPr>
      </xdr:nvSpPr>
      <xdr:spPr bwMode="auto">
        <a:xfrm>
          <a:off x="228600" y="83820"/>
          <a:ext cx="4678680" cy="9906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Svyhledat zrychleně</a:t>
          </a: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Tabulka hodnot je seřazena vzestupně podle kódu produktu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=KDYŽ(SVYHLEDAT($A9;PRODUKTY;1;PRAVDA)=$A9; SVYHLEDAT($A9;PRODUKTY;2;PRAVDA);"Nenalezeno")</a:t>
          </a:r>
        </a:p>
      </xdr:txBody>
    </xdr:sp>
    <xdr:clientData/>
  </xdr:twoCellAnchor>
  <xdr:twoCellAnchor>
    <xdr:from>
      <xdr:col>1</xdr:col>
      <xdr:colOff>762000</xdr:colOff>
      <xdr:row>6</xdr:row>
      <xdr:rowOff>0</xdr:rowOff>
    </xdr:from>
    <xdr:to>
      <xdr:col>1</xdr:col>
      <xdr:colOff>891540</xdr:colOff>
      <xdr:row>8</xdr:row>
      <xdr:rowOff>53340</xdr:rowOff>
    </xdr:to>
    <xdr:sp macro="" textlink="">
      <xdr:nvSpPr>
        <xdr:cNvPr id="26626" name="Line 2">
          <a:extLst>
            <a:ext uri="{FF2B5EF4-FFF2-40B4-BE49-F238E27FC236}">
              <a16:creationId xmlns:a16="http://schemas.microsoft.com/office/drawing/2014/main" id="{AB55E7CE-69FF-4C6A-9060-1AF2E0E7AD74}"/>
            </a:ext>
          </a:extLst>
        </xdr:cNvPr>
        <xdr:cNvSpPr>
          <a:spLocks noChangeShapeType="1"/>
        </xdr:cNvSpPr>
      </xdr:nvSpPr>
      <xdr:spPr bwMode="auto">
        <a:xfrm>
          <a:off x="1417320" y="1082040"/>
          <a:ext cx="12954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487680</xdr:colOff>
      <xdr:row>13</xdr:row>
      <xdr:rowOff>99060</xdr:rowOff>
    </xdr:from>
    <xdr:to>
      <xdr:col>8</xdr:col>
      <xdr:colOff>30480</xdr:colOff>
      <xdr:row>14</xdr:row>
      <xdr:rowOff>129540</xdr:rowOff>
    </xdr:to>
    <xdr:sp macro="" textlink="">
      <xdr:nvSpPr>
        <xdr:cNvPr id="26630" name="Text Box 6">
          <a:extLst>
            <a:ext uri="{FF2B5EF4-FFF2-40B4-BE49-F238E27FC236}">
              <a16:creationId xmlns:a16="http://schemas.microsoft.com/office/drawing/2014/main" id="{F7CA6310-8A81-495A-A8C7-8F94D2863CC4}"/>
            </a:ext>
          </a:extLst>
        </xdr:cNvPr>
        <xdr:cNvSpPr txBox="1">
          <a:spLocks noChangeArrowheads="1"/>
        </xdr:cNvSpPr>
      </xdr:nvSpPr>
      <xdr:spPr bwMode="auto">
        <a:xfrm>
          <a:off x="5875020" y="2156460"/>
          <a:ext cx="800100" cy="198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Seřazeno</a:t>
          </a:r>
        </a:p>
      </xdr:txBody>
    </xdr:sp>
    <xdr:clientData/>
  </xdr:twoCellAnchor>
  <xdr:twoCellAnchor>
    <xdr:from>
      <xdr:col>7</xdr:col>
      <xdr:colOff>167640</xdr:colOff>
      <xdr:row>12</xdr:row>
      <xdr:rowOff>45720</xdr:rowOff>
    </xdr:from>
    <xdr:to>
      <xdr:col>7</xdr:col>
      <xdr:colOff>213360</xdr:colOff>
      <xdr:row>13</xdr:row>
      <xdr:rowOff>106680</xdr:rowOff>
    </xdr:to>
    <xdr:sp macro="" textlink="">
      <xdr:nvSpPr>
        <xdr:cNvPr id="26631" name="Line 7">
          <a:extLst>
            <a:ext uri="{FF2B5EF4-FFF2-40B4-BE49-F238E27FC236}">
              <a16:creationId xmlns:a16="http://schemas.microsoft.com/office/drawing/2014/main" id="{2487752F-7C7D-4F99-AC0C-7BD3EB4214A1}"/>
            </a:ext>
          </a:extLst>
        </xdr:cNvPr>
        <xdr:cNvSpPr>
          <a:spLocks noChangeShapeType="1"/>
        </xdr:cNvSpPr>
      </xdr:nvSpPr>
      <xdr:spPr bwMode="auto">
        <a:xfrm flipV="1">
          <a:off x="6065520" y="1943100"/>
          <a:ext cx="45720" cy="2209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449580</xdr:colOff>
      <xdr:row>0</xdr:row>
      <xdr:rowOff>68580</xdr:rowOff>
    </xdr:from>
    <xdr:to>
      <xdr:col>11</xdr:col>
      <xdr:colOff>403860</xdr:colOff>
      <xdr:row>3</xdr:row>
      <xdr:rowOff>99060</xdr:rowOff>
    </xdr:to>
    <xdr:sp macro="" textlink="">
      <xdr:nvSpPr>
        <xdr:cNvPr id="17409" name="Text Box 1">
          <a:extLst>
            <a:ext uri="{FF2B5EF4-FFF2-40B4-BE49-F238E27FC236}">
              <a16:creationId xmlns:a16="http://schemas.microsoft.com/office/drawing/2014/main" id="{019AE1ED-69E4-4133-B009-1FE21B2FFBBF}"/>
            </a:ext>
          </a:extLst>
        </xdr:cNvPr>
        <xdr:cNvSpPr txBox="1">
          <a:spLocks noChangeArrowheads="1"/>
        </xdr:cNvSpPr>
      </xdr:nvSpPr>
      <xdr:spPr bwMode="auto">
        <a:xfrm>
          <a:off x="3238500" y="68580"/>
          <a:ext cx="3893820" cy="46482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cs-CZ" sz="1000" b="1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lnSpc>
              <a:spcPts val="1100"/>
            </a:lnSpc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Ověření, zda kód ve sloupci C existuje i ve sloupci A.</a:t>
          </a:r>
        </a:p>
      </xdr:txBody>
    </xdr:sp>
    <xdr:clientData/>
  </xdr:twoCellAnchor>
  <xdr:twoCellAnchor>
    <xdr:from>
      <xdr:col>3</xdr:col>
      <xdr:colOff>495300</xdr:colOff>
      <xdr:row>1</xdr:row>
      <xdr:rowOff>60960</xdr:rowOff>
    </xdr:from>
    <xdr:to>
      <xdr:col>4</xdr:col>
      <xdr:colOff>449580</xdr:colOff>
      <xdr:row>5</xdr:row>
      <xdr:rowOff>121920</xdr:rowOff>
    </xdr:to>
    <xdr:sp macro="" textlink="">
      <xdr:nvSpPr>
        <xdr:cNvPr id="17410" name="Line 2">
          <a:extLst>
            <a:ext uri="{FF2B5EF4-FFF2-40B4-BE49-F238E27FC236}">
              <a16:creationId xmlns:a16="http://schemas.microsoft.com/office/drawing/2014/main" id="{584B22DF-3C14-442C-A31C-D369779A73E9}"/>
            </a:ext>
          </a:extLst>
        </xdr:cNvPr>
        <xdr:cNvSpPr>
          <a:spLocks noChangeShapeType="1"/>
        </xdr:cNvSpPr>
      </xdr:nvSpPr>
      <xdr:spPr bwMode="auto">
        <a:xfrm flipH="1" flipV="1">
          <a:off x="2552700" y="205740"/>
          <a:ext cx="685800" cy="640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434340</xdr:colOff>
      <xdr:row>5</xdr:row>
      <xdr:rowOff>121920</xdr:rowOff>
    </xdr:from>
    <xdr:to>
      <xdr:col>11</xdr:col>
      <xdr:colOff>335280</xdr:colOff>
      <xdr:row>7</xdr:row>
      <xdr:rowOff>76200</xdr:rowOff>
    </xdr:to>
    <xdr:sp macro="" textlink="">
      <xdr:nvSpPr>
        <xdr:cNvPr id="17411" name="Text Box 3">
          <a:extLst>
            <a:ext uri="{FF2B5EF4-FFF2-40B4-BE49-F238E27FC236}">
              <a16:creationId xmlns:a16="http://schemas.microsoft.com/office/drawing/2014/main" id="{0163A5F6-706D-46EC-AD05-99FA95BCB9A1}"/>
            </a:ext>
          </a:extLst>
        </xdr:cNvPr>
        <xdr:cNvSpPr txBox="1">
          <a:spLocks noChangeArrowheads="1"/>
        </xdr:cNvSpPr>
      </xdr:nvSpPr>
      <xdr:spPr bwMode="auto">
        <a:xfrm>
          <a:off x="3223260" y="845820"/>
          <a:ext cx="3840480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=KDYŽ(JE.NEDEF(POZVYHLEDAT(C2;$A$2:$A$7;0));"ne";"")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350520</xdr:colOff>
      <xdr:row>4</xdr:row>
      <xdr:rowOff>76200</xdr:rowOff>
    </xdr:from>
    <xdr:to>
      <xdr:col>11</xdr:col>
      <xdr:colOff>320040</xdr:colOff>
      <xdr:row>18</xdr:row>
      <xdr:rowOff>38100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DC61331C-423F-466E-9A30-693B20933B6F}"/>
            </a:ext>
          </a:extLst>
        </xdr:cNvPr>
        <xdr:cNvSpPr txBox="1">
          <a:spLocks noChangeArrowheads="1"/>
        </xdr:cNvSpPr>
      </xdr:nvSpPr>
      <xdr:spPr bwMode="auto">
        <a:xfrm>
          <a:off x="1722120" y="670560"/>
          <a:ext cx="4892040" cy="198882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Index(Tabulka_hodnot;číslo_řádku;číslo_sloupce)</a:t>
          </a: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Nalezení hodnoty z tabulky hodnot nacházející se v průsečíku řádku a sloupce.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Verdana"/>
              <a:ea typeface="Verdana"/>
            </a:rPr>
            <a:t>V našem příkladu hledáme hodnotu z tabulky F2:Q2, jejíž pořadí jeurčeno obsahem buňky A2.</a:t>
          </a: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=INDEX(F2:Q2;1;A2)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 nebo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=INDEX(F2:Q2;A2)</a:t>
          </a:r>
        </a:p>
      </xdr:txBody>
    </xdr:sp>
    <xdr:clientData/>
  </xdr:twoCellAnchor>
  <xdr:twoCellAnchor>
    <xdr:from>
      <xdr:col>2</xdr:col>
      <xdr:colOff>411480</xdr:colOff>
      <xdr:row>2</xdr:row>
      <xdr:rowOff>0</xdr:rowOff>
    </xdr:from>
    <xdr:to>
      <xdr:col>2</xdr:col>
      <xdr:colOff>487680</xdr:colOff>
      <xdr:row>4</xdr:row>
      <xdr:rowOff>76200</xdr:rowOff>
    </xdr:to>
    <xdr:sp macro="" textlink="">
      <xdr:nvSpPr>
        <xdr:cNvPr id="19458" name="Line 2">
          <a:extLst>
            <a:ext uri="{FF2B5EF4-FFF2-40B4-BE49-F238E27FC236}">
              <a16:creationId xmlns:a16="http://schemas.microsoft.com/office/drawing/2014/main" id="{E8F36146-CE52-4133-8CC1-1B1AACF05B61}"/>
            </a:ext>
          </a:extLst>
        </xdr:cNvPr>
        <xdr:cNvSpPr>
          <a:spLocks noChangeShapeType="1"/>
        </xdr:cNvSpPr>
      </xdr:nvSpPr>
      <xdr:spPr bwMode="auto">
        <a:xfrm flipH="1" flipV="1">
          <a:off x="1783080" y="304800"/>
          <a:ext cx="76200" cy="365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12</xdr:row>
      <xdr:rowOff>137160</xdr:rowOff>
    </xdr:from>
    <xdr:to>
      <xdr:col>11</xdr:col>
      <xdr:colOff>182880</xdr:colOff>
      <xdr:row>20</xdr:row>
      <xdr:rowOff>91440</xdr:rowOff>
    </xdr:to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D601E6A3-FB3C-47A5-89F1-CE1DDF39F146}"/>
            </a:ext>
          </a:extLst>
        </xdr:cNvPr>
        <xdr:cNvSpPr txBox="1">
          <a:spLocks noChangeArrowheads="1"/>
        </xdr:cNvSpPr>
      </xdr:nvSpPr>
      <xdr:spPr bwMode="auto">
        <a:xfrm>
          <a:off x="144780" y="1889760"/>
          <a:ext cx="7254240" cy="1112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hodnoty v tabulce odpovídající zadané hodnotě parametru Výrobek a parametru Oblast</a:t>
          </a: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1)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SVYHLEDAT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(B2;TABULKA_HODNOT;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POZVYHLEDAT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(B3;OBLAST;0);NEPRAVDA)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2)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INDEX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(TABULKA_HODNOT;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POZVYHLEDAT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(B2;VYROBEK;0);</a:t>
          </a:r>
          <a:r>
            <a:rPr lang="cs-CZ" sz="900" b="1" i="0" u="none" strike="noStrike" baseline="0">
              <a:solidFill>
                <a:srgbClr val="000000"/>
              </a:solidFill>
              <a:latin typeface="Verdana"/>
              <a:ea typeface="Verdana"/>
            </a:rPr>
            <a:t>POZVYHLEDAT</a:t>
          </a:r>
          <a:r>
            <a:rPr lang="cs-CZ" sz="900" b="0" i="0" u="none" strike="noStrike" baseline="0">
              <a:solidFill>
                <a:srgbClr val="000000"/>
              </a:solidFill>
              <a:latin typeface="Verdana"/>
              <a:ea typeface="Verdana"/>
            </a:rPr>
            <a:t>(B3;OBLAST;0))</a:t>
          </a:r>
        </a:p>
      </xdr:txBody>
    </xdr:sp>
    <xdr:clientData/>
  </xdr:twoCellAnchor>
  <xdr:twoCellAnchor>
    <xdr:from>
      <xdr:col>0</xdr:col>
      <xdr:colOff>685800</xdr:colOff>
      <xdr:row>7</xdr:row>
      <xdr:rowOff>45720</xdr:rowOff>
    </xdr:from>
    <xdr:to>
      <xdr:col>0</xdr:col>
      <xdr:colOff>685800</xdr:colOff>
      <xdr:row>12</xdr:row>
      <xdr:rowOff>106680</xdr:rowOff>
    </xdr:to>
    <xdr:sp macro="" textlink="">
      <xdr:nvSpPr>
        <xdr:cNvPr id="21506" name="Line 2">
          <a:extLst>
            <a:ext uri="{FF2B5EF4-FFF2-40B4-BE49-F238E27FC236}">
              <a16:creationId xmlns:a16="http://schemas.microsoft.com/office/drawing/2014/main" id="{487072ED-E03D-4DB0-916E-A754F8ADCE29}"/>
            </a:ext>
          </a:extLst>
        </xdr:cNvPr>
        <xdr:cNvSpPr>
          <a:spLocks noChangeShapeType="1"/>
        </xdr:cNvSpPr>
      </xdr:nvSpPr>
      <xdr:spPr bwMode="auto">
        <a:xfrm flipV="1">
          <a:off x="685800" y="1066800"/>
          <a:ext cx="0" cy="792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15240</xdr:rowOff>
    </xdr:from>
    <xdr:to>
      <xdr:col>8</xdr:col>
      <xdr:colOff>38100</xdr:colOff>
      <xdr:row>1</xdr:row>
      <xdr:rowOff>7620</xdr:rowOff>
    </xdr:to>
    <xdr:sp macro="" textlink="">
      <xdr:nvSpPr>
        <xdr:cNvPr id="18433" name="Text Box 1">
          <a:extLst>
            <a:ext uri="{FF2B5EF4-FFF2-40B4-BE49-F238E27FC236}">
              <a16:creationId xmlns:a16="http://schemas.microsoft.com/office/drawing/2014/main" id="{5C119024-B38E-4A20-969A-67D7502EFDCA}"/>
            </a:ext>
          </a:extLst>
        </xdr:cNvPr>
        <xdr:cNvSpPr txBox="1">
          <a:spLocks noChangeArrowheads="1"/>
        </xdr:cNvSpPr>
      </xdr:nvSpPr>
      <xdr:spPr bwMode="auto">
        <a:xfrm>
          <a:off x="609600" y="15240"/>
          <a:ext cx="428244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maximální hodnoty patametru </a:t>
          </a:r>
        </a:p>
      </xdr:txBody>
    </xdr:sp>
    <xdr:clientData/>
  </xdr:twoCellAnchor>
  <xdr:twoCellAnchor>
    <xdr:from>
      <xdr:col>7</xdr:col>
      <xdr:colOff>60960</xdr:colOff>
      <xdr:row>2</xdr:row>
      <xdr:rowOff>121920</xdr:rowOff>
    </xdr:from>
    <xdr:to>
      <xdr:col>9</xdr:col>
      <xdr:colOff>220980</xdr:colOff>
      <xdr:row>3</xdr:row>
      <xdr:rowOff>106680</xdr:rowOff>
    </xdr:to>
    <xdr:sp macro="" textlink="">
      <xdr:nvSpPr>
        <xdr:cNvPr id="18434" name="Text Box 2">
          <a:extLst>
            <a:ext uri="{FF2B5EF4-FFF2-40B4-BE49-F238E27FC236}">
              <a16:creationId xmlns:a16="http://schemas.microsoft.com/office/drawing/2014/main" id="{B7ADB4BE-9CE9-4520-893C-963282F023A4}"/>
            </a:ext>
          </a:extLst>
        </xdr:cNvPr>
        <xdr:cNvSpPr txBox="1">
          <a:spLocks noChangeArrowheads="1"/>
        </xdr:cNvSpPr>
      </xdr:nvSpPr>
      <xdr:spPr bwMode="auto">
        <a:xfrm>
          <a:off x="4533900" y="487680"/>
          <a:ext cx="922020" cy="137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=MAX(C4:C8)</a:t>
          </a:r>
        </a:p>
      </xdr:txBody>
    </xdr:sp>
    <xdr:clientData/>
  </xdr:twoCellAnchor>
  <xdr:twoCellAnchor>
    <xdr:from>
      <xdr:col>6</xdr:col>
      <xdr:colOff>0</xdr:colOff>
      <xdr:row>3</xdr:row>
      <xdr:rowOff>38100</xdr:rowOff>
    </xdr:from>
    <xdr:to>
      <xdr:col>7</xdr:col>
      <xdr:colOff>68580</xdr:colOff>
      <xdr:row>3</xdr:row>
      <xdr:rowOff>106680</xdr:rowOff>
    </xdr:to>
    <xdr:sp macro="" textlink="">
      <xdr:nvSpPr>
        <xdr:cNvPr id="18435" name="Line 3">
          <a:extLst>
            <a:ext uri="{FF2B5EF4-FFF2-40B4-BE49-F238E27FC236}">
              <a16:creationId xmlns:a16="http://schemas.microsoft.com/office/drawing/2014/main" id="{68C60407-2D37-40A1-8672-DFCAFBD90077}"/>
            </a:ext>
          </a:extLst>
        </xdr:cNvPr>
        <xdr:cNvSpPr>
          <a:spLocks noChangeShapeType="1"/>
        </xdr:cNvSpPr>
      </xdr:nvSpPr>
      <xdr:spPr bwMode="auto">
        <a:xfrm flipH="1">
          <a:off x="4091940" y="556260"/>
          <a:ext cx="449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</xdr:colOff>
      <xdr:row>5</xdr:row>
      <xdr:rowOff>0</xdr:rowOff>
    </xdr:from>
    <xdr:to>
      <xdr:col>14</xdr:col>
      <xdr:colOff>76200</xdr:colOff>
      <xdr:row>6</xdr:row>
      <xdr:rowOff>0</xdr:rowOff>
    </xdr:to>
    <xdr:sp macro="" textlink="">
      <xdr:nvSpPr>
        <xdr:cNvPr id="18438" name="Text Box 6">
          <a:extLst>
            <a:ext uri="{FF2B5EF4-FFF2-40B4-BE49-F238E27FC236}">
              <a16:creationId xmlns:a16="http://schemas.microsoft.com/office/drawing/2014/main" id="{0E139E3E-6DCF-403E-AA65-199F33314B85}"/>
            </a:ext>
          </a:extLst>
        </xdr:cNvPr>
        <xdr:cNvSpPr txBox="1">
          <a:spLocks noChangeArrowheads="1"/>
        </xdr:cNvSpPr>
      </xdr:nvSpPr>
      <xdr:spPr bwMode="auto">
        <a:xfrm>
          <a:off x="4533900" y="807720"/>
          <a:ext cx="268224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=INDEX(B4:B8;POZVYHLEDAT(F4;C4:C8;0))</a:t>
          </a:r>
        </a:p>
      </xdr:txBody>
    </xdr:sp>
    <xdr:clientData/>
  </xdr:twoCellAnchor>
  <xdr:twoCellAnchor>
    <xdr:from>
      <xdr:col>5</xdr:col>
      <xdr:colOff>601980</xdr:colOff>
      <xdr:row>5</xdr:row>
      <xdr:rowOff>60960</xdr:rowOff>
    </xdr:from>
    <xdr:to>
      <xdr:col>7</xdr:col>
      <xdr:colOff>45720</xdr:colOff>
      <xdr:row>5</xdr:row>
      <xdr:rowOff>129540</xdr:rowOff>
    </xdr:to>
    <xdr:sp macro="" textlink="">
      <xdr:nvSpPr>
        <xdr:cNvPr id="18439" name="Line 7">
          <a:extLst>
            <a:ext uri="{FF2B5EF4-FFF2-40B4-BE49-F238E27FC236}">
              <a16:creationId xmlns:a16="http://schemas.microsoft.com/office/drawing/2014/main" id="{E9608B2D-5637-4D8C-9E46-5165964975A2}"/>
            </a:ext>
          </a:extLst>
        </xdr:cNvPr>
        <xdr:cNvSpPr>
          <a:spLocks noChangeShapeType="1"/>
        </xdr:cNvSpPr>
      </xdr:nvSpPr>
      <xdr:spPr bwMode="auto">
        <a:xfrm flipH="1" flipV="1">
          <a:off x="3985260" y="868680"/>
          <a:ext cx="5334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</xdr:colOff>
      <xdr:row>8</xdr:row>
      <xdr:rowOff>99060</xdr:rowOff>
    </xdr:from>
    <xdr:to>
      <xdr:col>15</xdr:col>
      <xdr:colOff>373380</xdr:colOff>
      <xdr:row>9</xdr:row>
      <xdr:rowOff>137160</xdr:rowOff>
    </xdr:to>
    <xdr:sp macro="" textlink="">
      <xdr:nvSpPr>
        <xdr:cNvPr id="18440" name="Text Box 8">
          <a:extLst>
            <a:ext uri="{FF2B5EF4-FFF2-40B4-BE49-F238E27FC236}">
              <a16:creationId xmlns:a16="http://schemas.microsoft.com/office/drawing/2014/main" id="{82CE8A33-1E7F-481B-92BD-65D95BC46AA8}"/>
            </a:ext>
          </a:extLst>
        </xdr:cNvPr>
        <xdr:cNvSpPr txBox="1">
          <a:spLocks noChangeArrowheads="1"/>
        </xdr:cNvSpPr>
      </xdr:nvSpPr>
      <xdr:spPr bwMode="auto">
        <a:xfrm>
          <a:off x="4518660" y="1394460"/>
          <a:ext cx="3375660" cy="182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=INDEX(B4:B8;POZVYHLEDAT(MAX(C4:C8);C4:C8;0))</a:t>
          </a:r>
        </a:p>
      </xdr:txBody>
    </xdr:sp>
    <xdr:clientData/>
  </xdr:twoCellAnchor>
  <xdr:twoCellAnchor>
    <xdr:from>
      <xdr:col>5</xdr:col>
      <xdr:colOff>670560</xdr:colOff>
      <xdr:row>9</xdr:row>
      <xdr:rowOff>45720</xdr:rowOff>
    </xdr:from>
    <xdr:to>
      <xdr:col>7</xdr:col>
      <xdr:colOff>38100</xdr:colOff>
      <xdr:row>9</xdr:row>
      <xdr:rowOff>45720</xdr:rowOff>
    </xdr:to>
    <xdr:sp macro="" textlink="">
      <xdr:nvSpPr>
        <xdr:cNvPr id="18441" name="Line 9">
          <a:extLst>
            <a:ext uri="{FF2B5EF4-FFF2-40B4-BE49-F238E27FC236}">
              <a16:creationId xmlns:a16="http://schemas.microsoft.com/office/drawing/2014/main" id="{246F14C3-D796-4A9B-B1ED-72B658A8F756}"/>
            </a:ext>
          </a:extLst>
        </xdr:cNvPr>
        <xdr:cNvSpPr>
          <a:spLocks noChangeShapeType="1"/>
        </xdr:cNvSpPr>
      </xdr:nvSpPr>
      <xdr:spPr bwMode="auto">
        <a:xfrm flipH="1" flipV="1">
          <a:off x="4053840" y="1485900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0</xdr:row>
      <xdr:rowOff>68580</xdr:rowOff>
    </xdr:from>
    <xdr:to>
      <xdr:col>10</xdr:col>
      <xdr:colOff>777240</xdr:colOff>
      <xdr:row>3</xdr:row>
      <xdr:rowOff>121920</xdr:rowOff>
    </xdr:to>
    <xdr:sp macro="" textlink="">
      <xdr:nvSpPr>
        <xdr:cNvPr id="22529" name="Text Box 1">
          <a:extLst>
            <a:ext uri="{FF2B5EF4-FFF2-40B4-BE49-F238E27FC236}">
              <a16:creationId xmlns:a16="http://schemas.microsoft.com/office/drawing/2014/main" id="{85B619FC-C00D-4937-9E22-A3AFEAE4B3E0}"/>
            </a:ext>
          </a:extLst>
        </xdr:cNvPr>
        <xdr:cNvSpPr txBox="1">
          <a:spLocks noChangeArrowheads="1"/>
        </xdr:cNvSpPr>
      </xdr:nvSpPr>
      <xdr:spPr bwMode="auto">
        <a:xfrm>
          <a:off x="5318760" y="68580"/>
          <a:ext cx="3406140" cy="4876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Vyhledání nejnižší hodnoty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=INDEX($B$2:$E$2;POZVYHLEDAT(MIN(B3:E3);B3:E3;0))</a:t>
          </a:r>
        </a:p>
      </xdr:txBody>
    </xdr:sp>
    <xdr:clientData/>
  </xdr:twoCellAnchor>
  <xdr:twoCellAnchor>
    <xdr:from>
      <xdr:col>6</xdr:col>
      <xdr:colOff>30480</xdr:colOff>
      <xdr:row>1</xdr:row>
      <xdr:rowOff>38100</xdr:rowOff>
    </xdr:from>
    <xdr:to>
      <xdr:col>6</xdr:col>
      <xdr:colOff>510540</xdr:colOff>
      <xdr:row>2</xdr:row>
      <xdr:rowOff>68580</xdr:rowOff>
    </xdr:to>
    <xdr:sp macro="" textlink="">
      <xdr:nvSpPr>
        <xdr:cNvPr id="22530" name="Line 2">
          <a:extLst>
            <a:ext uri="{FF2B5EF4-FFF2-40B4-BE49-F238E27FC236}">
              <a16:creationId xmlns:a16="http://schemas.microsoft.com/office/drawing/2014/main" id="{7B31FC23-3EA0-4F22-849C-33CB3EB6BFD1}"/>
            </a:ext>
          </a:extLst>
        </xdr:cNvPr>
        <xdr:cNvSpPr>
          <a:spLocks noChangeShapeType="1"/>
        </xdr:cNvSpPr>
      </xdr:nvSpPr>
      <xdr:spPr bwMode="auto">
        <a:xfrm flipH="1">
          <a:off x="4838700" y="182880"/>
          <a:ext cx="480060" cy="175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259080</xdr:colOff>
      <xdr:row>0</xdr:row>
      <xdr:rowOff>99060</xdr:rowOff>
    </xdr:from>
    <xdr:to>
      <xdr:col>19</xdr:col>
      <xdr:colOff>228600</xdr:colOff>
      <xdr:row>2</xdr:row>
      <xdr:rowOff>137160</xdr:rowOff>
    </xdr:to>
    <xdr:sp macro="" textlink="">
      <xdr:nvSpPr>
        <xdr:cNvPr id="25601" name="Text Box 1">
          <a:extLst>
            <a:ext uri="{FF2B5EF4-FFF2-40B4-BE49-F238E27FC236}">
              <a16:creationId xmlns:a16="http://schemas.microsoft.com/office/drawing/2014/main" id="{997D557C-0C31-46A5-BFCD-53CDE9FA6807}"/>
            </a:ext>
          </a:extLst>
        </xdr:cNvPr>
        <xdr:cNvSpPr txBox="1">
          <a:spLocks noChangeArrowheads="1"/>
        </xdr:cNvSpPr>
      </xdr:nvSpPr>
      <xdr:spPr bwMode="auto">
        <a:xfrm>
          <a:off x="5463540" y="99060"/>
          <a:ext cx="4038600" cy="3733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Verdana"/>
              <a:ea typeface="Verdana"/>
            </a:rPr>
            <a:t>Křížový výběr v intervalu hodnot</a:t>
          </a:r>
        </a:p>
        <a:p>
          <a:pPr algn="l" rtl="0">
            <a:defRPr sz="1000"/>
          </a:pPr>
          <a:endParaRPr lang="cs-CZ" sz="1000" b="1" i="0" u="none" strike="noStrike" baseline="0">
            <a:solidFill>
              <a:srgbClr val="000000"/>
            </a:solidFill>
            <a:latin typeface="Verdana"/>
            <a:ea typeface="Verdana"/>
          </a:endParaRPr>
        </a:p>
      </xdr:txBody>
    </xdr:sp>
    <xdr:clientData/>
  </xdr:twoCellAnchor>
  <xdr:twoCellAnchor>
    <xdr:from>
      <xdr:col>0</xdr:col>
      <xdr:colOff>144780</xdr:colOff>
      <xdr:row>8</xdr:row>
      <xdr:rowOff>68580</xdr:rowOff>
    </xdr:from>
    <xdr:to>
      <xdr:col>6</xdr:col>
      <xdr:colOff>281940</xdr:colOff>
      <xdr:row>8</xdr:row>
      <xdr:rowOff>259080</xdr:rowOff>
    </xdr:to>
    <xdr:sp macro="" textlink="">
      <xdr:nvSpPr>
        <xdr:cNvPr id="25602" name="Text Box 2">
          <a:extLst>
            <a:ext uri="{FF2B5EF4-FFF2-40B4-BE49-F238E27FC236}">
              <a16:creationId xmlns:a16="http://schemas.microsoft.com/office/drawing/2014/main" id="{2314F4A3-7C3E-41A1-AA60-15FA6EAF772E}"/>
            </a:ext>
          </a:extLst>
        </xdr:cNvPr>
        <xdr:cNvSpPr txBox="1">
          <a:spLocks noChangeArrowheads="1"/>
        </xdr:cNvSpPr>
      </xdr:nvSpPr>
      <xdr:spPr bwMode="auto">
        <a:xfrm>
          <a:off x="144780" y="1432560"/>
          <a:ext cx="371856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=SVYHLEDAT(B1;E4:I7;POZVYHLEDAT(B2;F3:I3;0)+1)</a:t>
          </a:r>
        </a:p>
      </xdr:txBody>
    </xdr:sp>
    <xdr:clientData/>
  </xdr:twoCellAnchor>
  <xdr:twoCellAnchor>
    <xdr:from>
      <xdr:col>0</xdr:col>
      <xdr:colOff>556260</xdr:colOff>
      <xdr:row>3</xdr:row>
      <xdr:rowOff>167640</xdr:rowOff>
    </xdr:from>
    <xdr:to>
      <xdr:col>1</xdr:col>
      <xdr:colOff>76200</xdr:colOff>
      <xdr:row>8</xdr:row>
      <xdr:rowOff>76200</xdr:rowOff>
    </xdr:to>
    <xdr:sp macro="" textlink="">
      <xdr:nvSpPr>
        <xdr:cNvPr id="25603" name="Line 3">
          <a:extLst>
            <a:ext uri="{FF2B5EF4-FFF2-40B4-BE49-F238E27FC236}">
              <a16:creationId xmlns:a16="http://schemas.microsoft.com/office/drawing/2014/main" id="{23EE2A14-A666-40C9-8B63-2FA38185264E}"/>
            </a:ext>
          </a:extLst>
        </xdr:cNvPr>
        <xdr:cNvSpPr>
          <a:spLocks noChangeShapeType="1"/>
        </xdr:cNvSpPr>
      </xdr:nvSpPr>
      <xdr:spPr bwMode="auto">
        <a:xfrm flipV="1">
          <a:off x="556260" y="678180"/>
          <a:ext cx="21336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4</xdr:col>
      <xdr:colOff>967740</xdr:colOff>
      <xdr:row>5</xdr:row>
      <xdr:rowOff>60960</xdr:rowOff>
    </xdr:to>
    <xdr:sp macro="" textlink="">
      <xdr:nvSpPr>
        <xdr:cNvPr id="31745" name="Text Box 1">
          <a:extLst>
            <a:ext uri="{FF2B5EF4-FFF2-40B4-BE49-F238E27FC236}">
              <a16:creationId xmlns:a16="http://schemas.microsoft.com/office/drawing/2014/main" id="{9DEDE716-E774-4F91-8140-2EA3815D4DD5}"/>
            </a:ext>
          </a:extLst>
        </xdr:cNvPr>
        <xdr:cNvSpPr txBox="1">
          <a:spLocks noChangeArrowheads="1"/>
        </xdr:cNvSpPr>
      </xdr:nvSpPr>
      <xdr:spPr bwMode="auto">
        <a:xfrm>
          <a:off x="68580" y="68580"/>
          <a:ext cx="3870960" cy="64008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Tabulka cen vybraného zboží pro více zemí: Česko, Francie, Itálie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=SVYHLEDAT(A10;NEPŘÍMÝ.ODKAZ("Zone"&amp;B10);2;NEPRAVDA)</a:t>
          </a:r>
        </a:p>
      </xdr:txBody>
    </xdr:sp>
    <xdr:clientData/>
  </xdr:twoCellAnchor>
  <xdr:twoCellAnchor>
    <xdr:from>
      <xdr:col>2</xdr:col>
      <xdr:colOff>464820</xdr:colOff>
      <xdr:row>5</xdr:row>
      <xdr:rowOff>60960</xdr:rowOff>
    </xdr:from>
    <xdr:to>
      <xdr:col>3</xdr:col>
      <xdr:colOff>7620</xdr:colOff>
      <xdr:row>9</xdr:row>
      <xdr:rowOff>30480</xdr:rowOff>
    </xdr:to>
    <xdr:sp macro="" textlink="">
      <xdr:nvSpPr>
        <xdr:cNvPr id="31746" name="Line 2">
          <a:extLst>
            <a:ext uri="{FF2B5EF4-FFF2-40B4-BE49-F238E27FC236}">
              <a16:creationId xmlns:a16="http://schemas.microsoft.com/office/drawing/2014/main" id="{3096E491-4312-4C2C-8E7D-1FAC5FFD6A0D}"/>
            </a:ext>
          </a:extLst>
        </xdr:cNvPr>
        <xdr:cNvSpPr>
          <a:spLocks noChangeShapeType="1"/>
        </xdr:cNvSpPr>
      </xdr:nvSpPr>
      <xdr:spPr bwMode="auto">
        <a:xfrm flipH="1">
          <a:off x="2019300" y="708660"/>
          <a:ext cx="25146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68580</xdr:rowOff>
    </xdr:from>
    <xdr:to>
      <xdr:col>6</xdr:col>
      <xdr:colOff>434340</xdr:colOff>
      <xdr:row>4</xdr:row>
      <xdr:rowOff>129540</xdr:rowOff>
    </xdr:to>
    <xdr:sp macro="" textlink="">
      <xdr:nvSpPr>
        <xdr:cNvPr id="32769" name="Text Box 1">
          <a:extLst>
            <a:ext uri="{FF2B5EF4-FFF2-40B4-BE49-F238E27FC236}">
              <a16:creationId xmlns:a16="http://schemas.microsoft.com/office/drawing/2014/main" id="{D8360D13-BC91-4C1B-AE4A-18A6564BA802}"/>
            </a:ext>
          </a:extLst>
        </xdr:cNvPr>
        <xdr:cNvSpPr txBox="1">
          <a:spLocks noChangeArrowheads="1"/>
        </xdr:cNvSpPr>
      </xdr:nvSpPr>
      <xdr:spPr bwMode="auto">
        <a:xfrm>
          <a:off x="68580" y="68580"/>
          <a:ext cx="4754880" cy="67056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Tabulka cen vybraného zboží pro více zemí: </a:t>
          </a:r>
        </a:p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Česko, Francie, Itálie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=SVYHLEDAT($A$10;$H$3:$K$7;POZVYHLEDAT(B10;$I$2:$K$2;0)+1;NEPRAVDA)</a:t>
          </a:r>
        </a:p>
      </xdr:txBody>
    </xdr:sp>
    <xdr:clientData/>
  </xdr:twoCellAnchor>
  <xdr:twoCellAnchor>
    <xdr:from>
      <xdr:col>2</xdr:col>
      <xdr:colOff>464820</xdr:colOff>
      <xdr:row>4</xdr:row>
      <xdr:rowOff>144780</xdr:rowOff>
    </xdr:from>
    <xdr:to>
      <xdr:col>3</xdr:col>
      <xdr:colOff>22860</xdr:colOff>
      <xdr:row>9</xdr:row>
      <xdr:rowOff>30480</xdr:rowOff>
    </xdr:to>
    <xdr:sp macro="" textlink="">
      <xdr:nvSpPr>
        <xdr:cNvPr id="32770" name="Line 2">
          <a:extLst>
            <a:ext uri="{FF2B5EF4-FFF2-40B4-BE49-F238E27FC236}">
              <a16:creationId xmlns:a16="http://schemas.microsoft.com/office/drawing/2014/main" id="{4DFDF66A-FDBB-4874-978B-30C7CED5F745}"/>
            </a:ext>
          </a:extLst>
        </xdr:cNvPr>
        <xdr:cNvSpPr>
          <a:spLocks noChangeShapeType="1"/>
        </xdr:cNvSpPr>
      </xdr:nvSpPr>
      <xdr:spPr bwMode="auto">
        <a:xfrm flipH="1">
          <a:off x="2019300" y="754380"/>
          <a:ext cx="266700" cy="655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7</xdr:row>
      <xdr:rowOff>68580</xdr:rowOff>
    </xdr:from>
    <xdr:to>
      <xdr:col>13</xdr:col>
      <xdr:colOff>106680</xdr:colOff>
      <xdr:row>11</xdr:row>
      <xdr:rowOff>45720</xdr:rowOff>
    </xdr:to>
    <xdr:sp macro="" textlink="">
      <xdr:nvSpPr>
        <xdr:cNvPr id="23553" name="Text Box 1">
          <a:extLst>
            <a:ext uri="{FF2B5EF4-FFF2-40B4-BE49-F238E27FC236}">
              <a16:creationId xmlns:a16="http://schemas.microsoft.com/office/drawing/2014/main" id="{529FA61C-B2C8-4FF4-A272-FCC74A466F8E}"/>
            </a:ext>
          </a:extLst>
        </xdr:cNvPr>
        <xdr:cNvSpPr txBox="1">
          <a:spLocks noChangeArrowheads="1"/>
        </xdr:cNvSpPr>
      </xdr:nvSpPr>
      <xdr:spPr bwMode="auto">
        <a:xfrm>
          <a:off x="739140" y="1082040"/>
          <a:ext cx="6271260" cy="55626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On veut répartir un montant entre une date de début et une date de fin</a:t>
          </a:r>
        </a:p>
        <a:p>
          <a:pPr algn="l" rtl="0">
            <a:defRPr sz="1000"/>
          </a:pPr>
          <a:endParaRPr lang="cs-CZ" sz="8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=SI(</a:t>
          </a:r>
          <a:r>
            <a:rPr lang="cs-CZ" sz="800" b="1" i="0" u="none" strike="noStrike" baseline="0">
              <a:solidFill>
                <a:srgbClr val="3366FF"/>
              </a:solidFill>
              <a:latin typeface="Verdana"/>
              <a:ea typeface="Verdana"/>
            </a:rPr>
            <a:t>ET(COLONNE()-3&gt;=MOIS($B2);COLONNE()-3&lt;=MOIS($C2))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;</a:t>
          </a:r>
          <a:r>
            <a:rPr lang="cs-CZ" sz="800" b="1" i="0" u="none" strike="noStrike" baseline="0">
              <a:solidFill>
                <a:srgbClr val="000000"/>
              </a:solidFill>
              <a:latin typeface="Verdana"/>
              <a:ea typeface="Verdana"/>
            </a:rPr>
            <a:t>$A2/(MOIS($C2)-MOIS($B2)+1)</a:t>
          </a:r>
          <a:r>
            <a:rPr lang="cs-CZ" sz="800" b="0" i="0" u="none" strike="noStrike" baseline="0">
              <a:solidFill>
                <a:srgbClr val="000000"/>
              </a:solidFill>
              <a:latin typeface="Verdana"/>
              <a:ea typeface="Verdana"/>
            </a:rPr>
            <a:t>;0)</a:t>
          </a:r>
        </a:p>
      </xdr:txBody>
    </xdr:sp>
    <xdr:clientData/>
  </xdr:twoCellAnchor>
  <xdr:twoCellAnchor>
    <xdr:from>
      <xdr:col>2</xdr:col>
      <xdr:colOff>731520</xdr:colOff>
      <xdr:row>1</xdr:row>
      <xdr:rowOff>45720</xdr:rowOff>
    </xdr:from>
    <xdr:to>
      <xdr:col>3</xdr:col>
      <xdr:colOff>236220</xdr:colOff>
      <xdr:row>7</xdr:row>
      <xdr:rowOff>68580</xdr:rowOff>
    </xdr:to>
    <xdr:sp macro="" textlink="">
      <xdr:nvSpPr>
        <xdr:cNvPr id="23554" name="Line 2">
          <a:extLst>
            <a:ext uri="{FF2B5EF4-FFF2-40B4-BE49-F238E27FC236}">
              <a16:creationId xmlns:a16="http://schemas.microsoft.com/office/drawing/2014/main" id="{6792268C-6A01-43D5-9C30-1116D746CD81}"/>
            </a:ext>
          </a:extLst>
        </xdr:cNvPr>
        <xdr:cNvSpPr>
          <a:spLocks noChangeShapeType="1"/>
        </xdr:cNvSpPr>
      </xdr:nvSpPr>
      <xdr:spPr bwMode="auto">
        <a:xfrm flipV="1">
          <a:off x="2133600" y="190500"/>
          <a:ext cx="297180" cy="891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indexed="10"/>
  </sheetPr>
  <dimension ref="A1:G33"/>
  <sheetViews>
    <sheetView showGridLines="0" workbookViewId="0">
      <selection activeCell="B12" sqref="B12"/>
    </sheetView>
  </sheetViews>
  <sheetFormatPr defaultColWidth="11.44140625" defaultRowHeight="11.4" x14ac:dyDescent="0.2"/>
  <cols>
    <col min="1" max="1" width="6.88671875" style="1" customWidth="1"/>
    <col min="2" max="2" width="41" style="1" customWidth="1"/>
    <col min="3" max="3" width="11.44140625" style="1" customWidth="1"/>
    <col min="4" max="4" width="45.33203125" style="1" customWidth="1"/>
    <col min="5" max="5" width="16.109375" style="1" customWidth="1"/>
    <col min="6" max="16384" width="11.44140625" style="1"/>
  </cols>
  <sheetData>
    <row r="1" spans="1:7" ht="13.8" x14ac:dyDescent="0.25">
      <c r="B1" s="193" t="s">
        <v>348</v>
      </c>
      <c r="C1" s="194"/>
      <c r="D1" s="195"/>
      <c r="E1" s="195"/>
      <c r="G1" s="139"/>
    </row>
    <row r="2" spans="1:7" ht="13.8" x14ac:dyDescent="0.25">
      <c r="B2" s="193" t="s">
        <v>346</v>
      </c>
      <c r="C2" s="194"/>
      <c r="D2" s="195"/>
      <c r="E2" s="195"/>
      <c r="F2"/>
    </row>
    <row r="3" spans="1:7" ht="13.8" x14ac:dyDescent="0.25">
      <c r="B3" s="193" t="s">
        <v>347</v>
      </c>
      <c r="C3" s="194"/>
      <c r="D3" s="195"/>
      <c r="E3" s="195"/>
      <c r="F3"/>
    </row>
    <row r="4" spans="1:7" customFormat="1" ht="13.2" x14ac:dyDescent="0.25">
      <c r="B4" s="1"/>
      <c r="C4" s="1"/>
      <c r="D4" s="1"/>
      <c r="E4" s="1"/>
    </row>
    <row r="5" spans="1:7" ht="13.2" x14ac:dyDescent="0.25">
      <c r="A5" s="117"/>
      <c r="B5" s="50" t="s">
        <v>247</v>
      </c>
      <c r="C5" s="117"/>
      <c r="D5" s="50" t="s">
        <v>261</v>
      </c>
      <c r="E5" s="238"/>
      <c r="F5"/>
    </row>
    <row r="6" spans="1:7" ht="13.2" x14ac:dyDescent="0.25">
      <c r="A6" s="117"/>
      <c r="B6" s="50" t="s">
        <v>249</v>
      </c>
      <c r="C6" s="117"/>
      <c r="D6" s="50" t="s">
        <v>351</v>
      </c>
      <c r="E6" s="238"/>
      <c r="F6"/>
    </row>
    <row r="7" spans="1:7" x14ac:dyDescent="0.2">
      <c r="A7" s="238"/>
      <c r="B7" s="50" t="s">
        <v>248</v>
      </c>
      <c r="C7" s="238"/>
      <c r="D7" s="50" t="s">
        <v>352</v>
      </c>
      <c r="E7" s="117"/>
    </row>
    <row r="8" spans="1:7" x14ac:dyDescent="0.2">
      <c r="A8" s="238"/>
      <c r="B8" s="50" t="s">
        <v>345</v>
      </c>
      <c r="C8" s="238"/>
      <c r="D8" s="50" t="s">
        <v>353</v>
      </c>
      <c r="E8" s="117"/>
    </row>
    <row r="9" spans="1:7" x14ac:dyDescent="0.2">
      <c r="A9" s="238"/>
      <c r="B9" s="50" t="s">
        <v>250</v>
      </c>
      <c r="C9" s="238"/>
      <c r="D9" s="50" t="s">
        <v>354</v>
      </c>
      <c r="E9" s="117"/>
    </row>
    <row r="10" spans="1:7" x14ac:dyDescent="0.2">
      <c r="A10" s="238"/>
      <c r="B10" s="50" t="s">
        <v>251</v>
      </c>
      <c r="C10" s="238"/>
      <c r="D10" s="291" t="s">
        <v>355</v>
      </c>
      <c r="E10" s="117"/>
    </row>
    <row r="11" spans="1:7" x14ac:dyDescent="0.2">
      <c r="A11" s="238"/>
      <c r="B11" s="50" t="s">
        <v>252</v>
      </c>
      <c r="C11" s="117"/>
      <c r="D11" s="50" t="s">
        <v>356</v>
      </c>
      <c r="E11" s="117"/>
    </row>
    <row r="12" spans="1:7" x14ac:dyDescent="0.2">
      <c r="A12" s="238"/>
      <c r="B12" s="50" t="s">
        <v>253</v>
      </c>
      <c r="C12" s="238"/>
      <c r="D12" s="50" t="s">
        <v>357</v>
      </c>
      <c r="E12" s="117"/>
    </row>
    <row r="13" spans="1:7" x14ac:dyDescent="0.2">
      <c r="A13" s="238"/>
      <c r="B13" s="50" t="s">
        <v>254</v>
      </c>
      <c r="C13" s="238"/>
      <c r="D13" s="50" t="s">
        <v>369</v>
      </c>
      <c r="E13" s="117"/>
    </row>
    <row r="14" spans="1:7" x14ac:dyDescent="0.2">
      <c r="A14" s="238"/>
      <c r="B14" s="50" t="s">
        <v>255</v>
      </c>
      <c r="C14" s="238"/>
      <c r="D14" s="50" t="s">
        <v>361</v>
      </c>
      <c r="E14" s="117"/>
    </row>
    <row r="15" spans="1:7" x14ac:dyDescent="0.2">
      <c r="A15" s="238"/>
      <c r="B15" s="50" t="s">
        <v>256</v>
      </c>
      <c r="C15" s="238"/>
      <c r="D15" s="50" t="s">
        <v>362</v>
      </c>
      <c r="E15" s="117"/>
    </row>
    <row r="16" spans="1:7" x14ac:dyDescent="0.2">
      <c r="A16" s="117"/>
      <c r="B16" s="50" t="s">
        <v>366</v>
      </c>
      <c r="C16" s="238"/>
      <c r="D16" s="237"/>
      <c r="E16" s="117"/>
    </row>
    <row r="17" spans="1:6" x14ac:dyDescent="0.2">
      <c r="A17" s="238"/>
      <c r="B17" s="50" t="s">
        <v>259</v>
      </c>
      <c r="C17" s="238"/>
      <c r="D17" s="50"/>
      <c r="E17" s="117"/>
    </row>
    <row r="18" spans="1:6" x14ac:dyDescent="0.2">
      <c r="A18" s="238"/>
      <c r="B18" s="50" t="s">
        <v>260</v>
      </c>
      <c r="C18" s="238"/>
      <c r="D18" s="237"/>
      <c r="E18" s="117"/>
    </row>
    <row r="19" spans="1:6" x14ac:dyDescent="0.2">
      <c r="A19" s="238"/>
      <c r="C19" s="117"/>
      <c r="D19" s="238"/>
      <c r="E19" s="117"/>
    </row>
    <row r="25" spans="1:6" ht="13.2" x14ac:dyDescent="0.25">
      <c r="B25"/>
    </row>
    <row r="26" spans="1:6" ht="13.2" x14ac:dyDescent="0.25">
      <c r="B26"/>
      <c r="C26"/>
      <c r="D26"/>
      <c r="E26"/>
      <c r="F26"/>
    </row>
    <row r="27" spans="1:6" ht="13.2" x14ac:dyDescent="0.25">
      <c r="B27"/>
      <c r="C27"/>
      <c r="D27"/>
      <c r="E27"/>
      <c r="F27"/>
    </row>
    <row r="28" spans="1:6" ht="13.2" x14ac:dyDescent="0.25">
      <c r="B28"/>
      <c r="C28"/>
      <c r="D28"/>
      <c r="E28"/>
      <c r="F28"/>
    </row>
    <row r="29" spans="1:6" ht="13.2" x14ac:dyDescent="0.25">
      <c r="B29"/>
      <c r="C29"/>
      <c r="D29"/>
      <c r="E29"/>
      <c r="F29"/>
    </row>
    <row r="30" spans="1:6" ht="13.2" x14ac:dyDescent="0.25">
      <c r="B30"/>
      <c r="C30"/>
      <c r="D30"/>
      <c r="E30"/>
      <c r="F30"/>
    </row>
    <row r="31" spans="1:6" ht="13.2" x14ac:dyDescent="0.25">
      <c r="B31"/>
      <c r="C31"/>
      <c r="D31"/>
      <c r="E31"/>
      <c r="F31"/>
    </row>
    <row r="32" spans="1:6" ht="13.2" x14ac:dyDescent="0.25">
      <c r="B32"/>
      <c r="C32"/>
      <c r="D32"/>
      <c r="E32"/>
      <c r="F32"/>
    </row>
    <row r="33" spans="2:6" ht="13.2" x14ac:dyDescent="0.25">
      <c r="B33" s="138"/>
      <c r="C33"/>
      <c r="D33"/>
      <c r="E33"/>
      <c r="F33"/>
    </row>
  </sheetData>
  <phoneticPr fontId="20" type="noConversion"/>
  <hyperlinks>
    <hyperlink ref="B7" location="'Svyhledat(2)'!A1" display="SVYHLEDAT - (2)"/>
    <hyperlink ref="B6" location="Svyhledat_přibližně!A1" display="SVYHLEDAT - přibližná hodnota"/>
    <hyperlink ref="B9" location="Pozvyhledat!A1" display="POZVYHLEDAT"/>
    <hyperlink ref="B10" location="Index!A1" display="INDEX"/>
    <hyperlink ref="B12" location="Tarif_Svyhledat!A1" display="SVYHLEDAT_Tarif"/>
    <hyperlink ref="B13" location="Tarif_IndexPozvyhledat!A1" display="INDEX_POZVYHLEDAT_Tarif"/>
    <hyperlink ref="B14" location="Tarif_SVYH_POZVYH!A1" display="SVYHLEDAT_POZVYHLEDAT_Tarif"/>
    <hyperlink ref="B15" location="'Tarif_IndexPozvyhledat(2)'!A1" display="INDEX_POZVYHLEDAT_Tarif(2)"/>
    <hyperlink ref="B17" location="INDEX_POZ_VíceSloupců!A1" display="INDEX_POZVYHLEDAT_VíceSloupců"/>
    <hyperlink ref="B18" location="Index_VíceSloupců_Matice!A1" display="INDEX_POZVYHLEDAT_VíceSloupců_MATICE"/>
    <hyperlink ref="D5" location="TransformaceSloupcu!A1" display="INDEX_POZVYHLEDAT_TransformaceSloupců_MATICE"/>
    <hyperlink ref="D7" location="SVYHLEDAT_TURBO!A1" display="SVYHLEDAT_TURBO"/>
    <hyperlink ref="D10" location="SVYHLEDAT_POZVYHLEDAT_Oblast!A1" display="SVYHLEDAT_POZVYHLEDAT_Oblast"/>
    <hyperlink ref="D11" location="INDEX_POZVYHLEDAT_MAX!A1" display="INDEX_POZVYHLEDAT_MAX"/>
    <hyperlink ref="D12" location="INDEX_POZVYHLEDAT_MIN!A1" display="INDEX_POZVYHLEDAT_MIN"/>
    <hyperlink ref="D13" location="kvi" display="KŘÍŽOVÝ VÝBĚR V INTERVALU"/>
    <hyperlink ref="D15" location="INDEX_POZVYHLEDAT_Zeme!A1" display="INDEX_POZVYHLEDAT_Zeme"/>
    <hyperlink ref="B11" location="IndexPozvyhledat!A1" display="INDEX_POZVYHLEDAT"/>
    <hyperlink ref="D14" location="SVYHLEDAT_NEPRIMYODKAZ_Zeme!A1" display="SVYHLEDAT_NEPRIMYODKAZ_Zeme"/>
    <hyperlink ref="D9" location="INDEX_RADEK!A1" display="INDEX_RADEK"/>
    <hyperlink ref="B5" location="'Svyhledat(1)'!A1" display="SVYHLEDAT - (1)"/>
    <hyperlink ref="B16" location="TarifVyhledání!sazba" display="TarifVyhledání"/>
    <hyperlink ref="B8" location="'Svyhledat(3)'!A1" display="SVYHLEDAT(3)"/>
    <hyperlink ref="D6" location="SVYHLEDAT_komplexni_reseni!A1" display="SVYHLEDAT_komplexni_reseni"/>
    <hyperlink ref="D8" location="POZVYHLEDAT_NeSoulad!A1" display="POZVYHLEDAT_NeSoulad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J37"/>
  <sheetViews>
    <sheetView showGridLines="0" showZeros="0" workbookViewId="0">
      <selection activeCell="K3" sqref="K3"/>
    </sheetView>
  </sheetViews>
  <sheetFormatPr defaultColWidth="10.33203125" defaultRowHeight="11.4" x14ac:dyDescent="0.2"/>
  <cols>
    <col min="1" max="1" width="6.33203125" style="72" customWidth="1"/>
    <col min="2" max="2" width="10.44140625" style="72" customWidth="1"/>
    <col min="3" max="3" width="16" style="72" customWidth="1"/>
    <col min="4" max="4" width="8.6640625" style="72" customWidth="1"/>
    <col min="5" max="5" width="10.33203125" style="72" customWidth="1"/>
    <col min="6" max="6" width="8.88671875" style="72" customWidth="1"/>
    <col min="7" max="7" width="13.5546875" style="72" bestFit="1" customWidth="1"/>
    <col min="8" max="8" width="11.6640625" style="72" customWidth="1"/>
    <col min="9" max="9" width="14.88671875" style="72" customWidth="1"/>
    <col min="10" max="10" width="12.44140625" style="72" customWidth="1"/>
    <col min="11" max="16384" width="10.33203125" style="72"/>
  </cols>
  <sheetData>
    <row r="1" spans="1:10" x14ac:dyDescent="0.2">
      <c r="A1" s="71"/>
    </row>
    <row r="5" spans="1:10" ht="13.2" x14ac:dyDescent="0.25">
      <c r="B5"/>
    </row>
    <row r="6" spans="1:10" ht="13.2" x14ac:dyDescent="0.25">
      <c r="A6"/>
      <c r="H6" s="71" t="s">
        <v>78</v>
      </c>
    </row>
    <row r="7" spans="1:10" ht="13.2" x14ac:dyDescent="0.25">
      <c r="A7"/>
      <c r="B7" s="116" t="s">
        <v>80</v>
      </c>
      <c r="C7" s="116" t="s">
        <v>81</v>
      </c>
      <c r="D7" s="116" t="s">
        <v>82</v>
      </c>
      <c r="H7" s="116" t="s">
        <v>80</v>
      </c>
      <c r="I7" s="116" t="s">
        <v>81</v>
      </c>
      <c r="J7" s="116" t="s">
        <v>82</v>
      </c>
    </row>
    <row r="8" spans="1:10" ht="13.2" x14ac:dyDescent="0.25">
      <c r="A8"/>
      <c r="B8" s="216" t="s">
        <v>60</v>
      </c>
      <c r="C8" s="215" t="str">
        <f>VLOOKUP(B8,$H$8:$J$13,2,FALSE)</f>
        <v>Základní deska</v>
      </c>
      <c r="D8" s="215">
        <f>VLOOKUP(B8,$H$8:$J$13,3,FALSE)</f>
        <v>300</v>
      </c>
      <c r="H8" s="216" t="s">
        <v>60</v>
      </c>
      <c r="I8" s="75" t="s">
        <v>79</v>
      </c>
      <c r="J8" s="292">
        <v>300</v>
      </c>
    </row>
    <row r="9" spans="1:10" ht="13.2" x14ac:dyDescent="0.25">
      <c r="A9"/>
      <c r="B9" s="216" t="s">
        <v>61</v>
      </c>
      <c r="C9" s="215" t="str">
        <f>VLOOKUP(B9,$H$8:$J$13,2,FALSE)</f>
        <v>Klávesnice</v>
      </c>
      <c r="D9" s="215">
        <f>VLOOKUP(B9,$H$8:$J$13,3,FALSE)</f>
        <v>10</v>
      </c>
      <c r="H9" s="216" t="s">
        <v>62</v>
      </c>
      <c r="I9" s="75" t="s">
        <v>83</v>
      </c>
      <c r="J9" s="292">
        <v>100</v>
      </c>
    </row>
    <row r="10" spans="1:10" ht="13.2" x14ac:dyDescent="0.25">
      <c r="A10"/>
      <c r="B10" s="216" t="s">
        <v>63</v>
      </c>
      <c r="C10" s="215" t="str">
        <f>VLOOKUP(B10,$H$8:$J$13,2,FALSE)</f>
        <v>DVD mechanika</v>
      </c>
      <c r="D10" s="215">
        <f>VLOOKUP(B10,$H$8:$J$13,3,FALSE)</f>
        <v>30</v>
      </c>
      <c r="H10" s="216" t="s">
        <v>61</v>
      </c>
      <c r="I10" s="75" t="s">
        <v>84</v>
      </c>
      <c r="J10" s="292">
        <v>10</v>
      </c>
    </row>
    <row r="11" spans="1:10" ht="13.2" x14ac:dyDescent="0.25">
      <c r="A11"/>
      <c r="B11" s="216"/>
      <c r="C11" s="215"/>
      <c r="D11" s="215"/>
      <c r="H11" s="216" t="s">
        <v>64</v>
      </c>
      <c r="I11" s="75" t="s">
        <v>85</v>
      </c>
      <c r="J11" s="292">
        <v>5</v>
      </c>
    </row>
    <row r="12" spans="1:10" ht="13.2" x14ac:dyDescent="0.25">
      <c r="A12"/>
      <c r="B12" s="216"/>
      <c r="C12" s="215"/>
      <c r="D12" s="215"/>
      <c r="H12" s="216" t="s">
        <v>63</v>
      </c>
      <c r="I12" s="75" t="s">
        <v>86</v>
      </c>
      <c r="J12" s="292">
        <v>30</v>
      </c>
    </row>
    <row r="13" spans="1:10" ht="13.2" x14ac:dyDescent="0.25">
      <c r="A13"/>
      <c r="B13" s="216"/>
      <c r="C13" s="215"/>
      <c r="D13" s="215"/>
      <c r="H13" s="216" t="s">
        <v>65</v>
      </c>
      <c r="I13" s="75" t="s">
        <v>87</v>
      </c>
      <c r="J13" s="292">
        <v>100</v>
      </c>
    </row>
    <row r="14" spans="1:10" ht="13.2" x14ac:dyDescent="0.25">
      <c r="A14"/>
      <c r="B14" s="216"/>
      <c r="C14" s="215"/>
      <c r="D14" s="215"/>
    </row>
    <row r="15" spans="1:10" x14ac:dyDescent="0.2">
      <c r="B15" s="216"/>
      <c r="C15" s="215"/>
      <c r="D15" s="215"/>
    </row>
    <row r="16" spans="1:10" ht="12.9" customHeight="1" x14ac:dyDescent="0.2">
      <c r="H16" s="143"/>
      <c r="I16" s="143"/>
    </row>
    <row r="17" spans="8:10" x14ac:dyDescent="0.2">
      <c r="H17" s="143"/>
      <c r="I17" s="143"/>
    </row>
    <row r="18" spans="8:10" x14ac:dyDescent="0.2">
      <c r="H18" s="143"/>
      <c r="I18" s="143"/>
    </row>
    <row r="19" spans="8:10" x14ac:dyDescent="0.2">
      <c r="H19" s="143"/>
      <c r="I19" s="143"/>
    </row>
    <row r="20" spans="8:10" x14ac:dyDescent="0.2">
      <c r="H20" s="143"/>
      <c r="I20" s="143"/>
      <c r="J20" s="50" t="s">
        <v>246</v>
      </c>
    </row>
    <row r="21" spans="8:10" x14ac:dyDescent="0.2">
      <c r="H21" s="143"/>
      <c r="I21" s="143"/>
    </row>
    <row r="22" spans="8:10" x14ac:dyDescent="0.2">
      <c r="H22" s="143"/>
      <c r="I22" s="143"/>
    </row>
    <row r="23" spans="8:10" x14ac:dyDescent="0.2">
      <c r="H23" s="143"/>
      <c r="I23" s="143"/>
    </row>
    <row r="24" spans="8:10" x14ac:dyDescent="0.2">
      <c r="H24" s="143"/>
      <c r="I24" s="143"/>
    </row>
    <row r="25" spans="8:10" x14ac:dyDescent="0.2">
      <c r="H25" s="143"/>
      <c r="I25" s="143"/>
    </row>
    <row r="26" spans="8:10" x14ac:dyDescent="0.2">
      <c r="H26" s="143"/>
      <c r="I26" s="143"/>
    </row>
    <row r="27" spans="8:10" x14ac:dyDescent="0.2">
      <c r="H27" s="143"/>
      <c r="I27" s="143"/>
    </row>
    <row r="29" spans="8:10" x14ac:dyDescent="0.2">
      <c r="H29" s="143"/>
      <c r="I29" s="143"/>
    </row>
    <row r="30" spans="8:10" x14ac:dyDescent="0.2">
      <c r="H30" s="143"/>
      <c r="I30" s="143"/>
    </row>
    <row r="31" spans="8:10" x14ac:dyDescent="0.2">
      <c r="H31" s="143"/>
      <c r="I31" s="143"/>
    </row>
    <row r="32" spans="8:10" x14ac:dyDescent="0.2">
      <c r="H32" s="143"/>
      <c r="I32" s="143"/>
    </row>
    <row r="33" spans="8:9" x14ac:dyDescent="0.2">
      <c r="H33" s="143"/>
      <c r="I33" s="143"/>
    </row>
    <row r="34" spans="8:9" x14ac:dyDescent="0.2">
      <c r="H34" s="143"/>
      <c r="I34" s="143"/>
    </row>
    <row r="35" spans="8:9" x14ac:dyDescent="0.2">
      <c r="H35" s="143"/>
      <c r="I35" s="143"/>
    </row>
    <row r="36" spans="8:9" x14ac:dyDescent="0.2">
      <c r="H36" s="143"/>
      <c r="I36" s="143"/>
    </row>
    <row r="37" spans="8:9" x14ac:dyDescent="0.2">
      <c r="H37" s="143"/>
      <c r="I37" s="143"/>
    </row>
  </sheetData>
  <sheetProtection password="CC66"/>
  <phoneticPr fontId="24" type="noConversion"/>
  <hyperlinks>
    <hyperlink ref="J20" location="Obsah!A1" display="Obsah"/>
  </hyperlinks>
  <printOptions headings="1"/>
  <pageMargins left="0.78740157480314965" right="0.78740157480314965" top="0.98425196850393704" bottom="0.98425196850393704" header="0.4921259845" footer="0.4921259845"/>
  <pageSetup paperSize="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K34"/>
  <sheetViews>
    <sheetView showGridLines="0" workbookViewId="0">
      <selection activeCell="K2" sqref="K2"/>
    </sheetView>
  </sheetViews>
  <sheetFormatPr defaultColWidth="12.5546875" defaultRowHeight="12" x14ac:dyDescent="0.25"/>
  <cols>
    <col min="1" max="2" width="12.5546875" style="73" customWidth="1"/>
    <col min="3" max="3" width="7.88671875" style="73" bestFit="1" customWidth="1"/>
    <col min="4" max="5" width="12.5546875" style="73" customWidth="1"/>
    <col min="6" max="6" width="8.33203125" style="73" customWidth="1"/>
    <col min="7" max="7" width="19.33203125" style="73" bestFit="1" customWidth="1"/>
    <col min="8" max="8" width="16.109375" style="73" customWidth="1"/>
    <col min="9" max="9" width="8.109375" style="73" bestFit="1" customWidth="1"/>
    <col min="10" max="16384" width="12.5546875" style="73"/>
  </cols>
  <sheetData>
    <row r="1" spans="1:11" x14ac:dyDescent="0.25">
      <c r="A1" s="71"/>
      <c r="B1" s="72"/>
      <c r="C1" s="72"/>
      <c r="D1" s="72"/>
      <c r="E1" s="72"/>
    </row>
    <row r="2" spans="1:11" x14ac:dyDescent="0.25">
      <c r="A2" s="72"/>
      <c r="B2" s="72"/>
      <c r="C2" s="72"/>
      <c r="D2" s="72"/>
      <c r="E2" s="72"/>
      <c r="K2" s="50" t="s">
        <v>246</v>
      </c>
    </row>
    <row r="3" spans="1:11" x14ac:dyDescent="0.25">
      <c r="D3" s="72"/>
      <c r="E3" s="72"/>
    </row>
    <row r="4" spans="1:11" x14ac:dyDescent="0.25">
      <c r="D4" s="72"/>
      <c r="E4" s="72"/>
    </row>
    <row r="5" spans="1:11" x14ac:dyDescent="0.25">
      <c r="D5" s="72"/>
      <c r="E5" s="72"/>
    </row>
    <row r="6" spans="1:11" x14ac:dyDescent="0.25">
      <c r="A6" s="72"/>
      <c r="B6" s="72"/>
      <c r="C6" s="72"/>
      <c r="D6" s="72"/>
      <c r="E6" s="72"/>
      <c r="G6" s="74" t="s">
        <v>117</v>
      </c>
      <c r="H6" s="74"/>
      <c r="I6" s="72"/>
    </row>
    <row r="7" spans="1:11" ht="12.6" thickBot="1" x14ac:dyDescent="0.3">
      <c r="A7" s="259" t="s">
        <v>120</v>
      </c>
      <c r="B7" s="77" t="s">
        <v>118</v>
      </c>
      <c r="C7" s="77" t="s">
        <v>119</v>
      </c>
      <c r="G7" s="116" t="s">
        <v>123</v>
      </c>
      <c r="H7" s="116" t="s">
        <v>122</v>
      </c>
      <c r="I7" s="116" t="s">
        <v>121</v>
      </c>
    </row>
    <row r="8" spans="1:11" x14ac:dyDescent="0.25">
      <c r="A8" s="75" t="s">
        <v>36</v>
      </c>
      <c r="B8" s="249">
        <v>3500</v>
      </c>
      <c r="C8" s="76">
        <f>VLOOKUP(B8,$G$8:$I$12,3,TRUE)</f>
        <v>0.03</v>
      </c>
      <c r="G8" s="252">
        <v>0</v>
      </c>
      <c r="H8" s="250" t="str">
        <f>REPT(" ",15-LEN(G8 &amp; " - " &amp; G9)) &amp; G8 &amp; " - " &amp; G9</f>
        <v xml:space="preserve">       0 - 1000</v>
      </c>
      <c r="I8" s="255">
        <v>0</v>
      </c>
    </row>
    <row r="9" spans="1:11" x14ac:dyDescent="0.25">
      <c r="A9" s="75" t="s">
        <v>37</v>
      </c>
      <c r="B9" s="75">
        <v>7000</v>
      </c>
      <c r="C9" s="76">
        <f>VLOOKUP(B9,$G$8:$I$12,3,TRUE)</f>
        <v>0.05</v>
      </c>
      <c r="G9" s="253">
        <v>1000</v>
      </c>
      <c r="H9" s="248" t="str">
        <f>REPT(" ",15-LEN(G9 &amp; " - " &amp; G10)) &amp; G9 &amp; " - " &amp; G10</f>
        <v xml:space="preserve">    1000 - 3000</v>
      </c>
      <c r="I9" s="256">
        <v>0.02</v>
      </c>
    </row>
    <row r="10" spans="1:11" x14ac:dyDescent="0.25">
      <c r="A10" s="75" t="s">
        <v>38</v>
      </c>
      <c r="B10" s="75">
        <v>2000</v>
      </c>
      <c r="C10" s="76">
        <f>VLOOKUP(B10,$G$8:$I$12,3,TRUE)</f>
        <v>0.02</v>
      </c>
      <c r="G10" s="253">
        <v>3000</v>
      </c>
      <c r="H10" s="248" t="str">
        <f>REPT(" ",15-LEN(G10 &amp; " - " &amp; G11)) &amp; G10 &amp; " - " &amp; G11</f>
        <v xml:space="preserve">    3000 - 6000</v>
      </c>
      <c r="I10" s="256">
        <v>0.03</v>
      </c>
    </row>
    <row r="11" spans="1:11" x14ac:dyDescent="0.25">
      <c r="A11" s="75" t="s">
        <v>39</v>
      </c>
      <c r="B11" s="75">
        <v>120000</v>
      </c>
      <c r="C11" s="76">
        <f>VLOOKUP(B11,$G$8:$I$12,3,TRUE)</f>
        <v>0.08</v>
      </c>
      <c r="G11" s="253">
        <v>6000</v>
      </c>
      <c r="H11" s="248" t="str">
        <f>REPT(" ",15-LEN(G11 &amp; " - " &amp; G12)) &amp; G11 &amp; " - " &amp; G12</f>
        <v xml:space="preserve">  6000 - 100000</v>
      </c>
      <c r="I11" s="256">
        <v>0.05</v>
      </c>
    </row>
    <row r="12" spans="1:11" ht="12.6" thickBot="1" x14ac:dyDescent="0.3">
      <c r="A12" s="75" t="s">
        <v>40</v>
      </c>
      <c r="B12" s="75">
        <v>7200</v>
      </c>
      <c r="C12" s="76">
        <f>VLOOKUP(B12,$G$8:$I$12,3,TRUE)</f>
        <v>0.05</v>
      </c>
      <c r="G12" s="254">
        <v>100000</v>
      </c>
      <c r="H12" s="251" t="str">
        <f>REPT(" ",15-LEN(G12 &amp; " - " &amp; G13)) &amp; G12 &amp; " - " &amp; G13</f>
        <v xml:space="preserve">      100000 - </v>
      </c>
      <c r="I12" s="257">
        <v>0.08</v>
      </c>
    </row>
    <row r="18" spans="4:10" x14ac:dyDescent="0.25">
      <c r="G18" s="142"/>
      <c r="H18" s="142"/>
      <c r="I18" s="142"/>
    </row>
    <row r="19" spans="4:10" x14ac:dyDescent="0.25">
      <c r="G19" s="143"/>
      <c r="H19" s="143"/>
      <c r="I19" s="143"/>
    </row>
    <row r="20" spans="4:10" ht="13.2" x14ac:dyDescent="0.25">
      <c r="G20"/>
      <c r="H20"/>
      <c r="I20"/>
    </row>
    <row r="21" spans="4:10" x14ac:dyDescent="0.25">
      <c r="G21" s="142"/>
      <c r="H21" s="142"/>
      <c r="I21" s="142"/>
    </row>
    <row r="22" spans="4:10" x14ac:dyDescent="0.25">
      <c r="G22" s="142"/>
      <c r="H22" s="142"/>
      <c r="I22" s="142"/>
    </row>
    <row r="23" spans="4:10" x14ac:dyDescent="0.25">
      <c r="G23" s="142"/>
      <c r="H23" s="142"/>
      <c r="I23" s="142"/>
    </row>
    <row r="24" spans="4:10" x14ac:dyDescent="0.25">
      <c r="G24" s="142"/>
      <c r="H24" s="142"/>
      <c r="I24" s="142"/>
    </row>
    <row r="25" spans="4:10" x14ac:dyDescent="0.25">
      <c r="G25" s="142"/>
      <c r="H25" s="142"/>
      <c r="I25" s="142"/>
    </row>
    <row r="27" spans="4:10" ht="13.2" x14ac:dyDescent="0.25">
      <c r="F27"/>
      <c r="J27"/>
    </row>
    <row r="28" spans="4:10" ht="13.2" x14ac:dyDescent="0.25">
      <c r="D28" s="258" t="s">
        <v>222</v>
      </c>
      <c r="F28"/>
      <c r="H28"/>
      <c r="I28"/>
      <c r="J28"/>
    </row>
    <row r="29" spans="4:10" ht="13.2" x14ac:dyDescent="0.25">
      <c r="D29" s="266" t="s">
        <v>223</v>
      </c>
      <c r="F29"/>
      <c r="G29"/>
      <c r="H29"/>
      <c r="I29"/>
      <c r="J29"/>
    </row>
    <row r="30" spans="4:10" ht="13.2" x14ac:dyDescent="0.25">
      <c r="F30"/>
      <c r="G30"/>
      <c r="H30"/>
      <c r="I30"/>
      <c r="J30"/>
    </row>
    <row r="31" spans="4:10" ht="13.2" x14ac:dyDescent="0.25">
      <c r="F31"/>
      <c r="G31"/>
      <c r="H31"/>
      <c r="I31"/>
      <c r="J31"/>
    </row>
    <row r="32" spans="4:10" ht="13.2" x14ac:dyDescent="0.25">
      <c r="F32"/>
      <c r="G32"/>
      <c r="H32"/>
      <c r="I32"/>
      <c r="J32"/>
    </row>
    <row r="33" spans="6:10" ht="13.2" x14ac:dyDescent="0.25">
      <c r="F33"/>
      <c r="G33"/>
      <c r="H33"/>
      <c r="I33"/>
      <c r="J33"/>
    </row>
    <row r="34" spans="6:10" ht="13.2" x14ac:dyDescent="0.25">
      <c r="F34"/>
      <c r="G34"/>
      <c r="H34"/>
      <c r="I34"/>
      <c r="J34"/>
    </row>
  </sheetData>
  <sheetProtection sheet="1" objects="1" scenarios="1"/>
  <phoneticPr fontId="24" type="noConversion"/>
  <hyperlinks>
    <hyperlink ref="K2" location="Obsah!A1" display="Obsah"/>
  </hyperlink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L47"/>
  <sheetViews>
    <sheetView showGridLines="0" workbookViewId="0">
      <selection activeCell="M8" sqref="M8"/>
    </sheetView>
  </sheetViews>
  <sheetFormatPr defaultColWidth="12.5546875" defaultRowHeight="12.6" x14ac:dyDescent="0.2"/>
  <cols>
    <col min="1" max="1" width="6.44140625" style="13" customWidth="1"/>
    <col min="2" max="2" width="4.88671875" style="13" customWidth="1"/>
    <col min="3" max="3" width="20.6640625" style="13" customWidth="1"/>
    <col min="4" max="6" width="12.5546875" style="13" customWidth="1"/>
    <col min="7" max="7" width="6.5546875" style="13" customWidth="1"/>
    <col min="8" max="8" width="11.109375" style="13" bestFit="1" customWidth="1"/>
    <col min="9" max="9" width="9.109375" style="13" bestFit="1" customWidth="1"/>
    <col min="10" max="10" width="18.88671875" style="13" bestFit="1" customWidth="1"/>
    <col min="11" max="11" width="9.44140625" style="13" bestFit="1" customWidth="1"/>
    <col min="12" max="12" width="12.44140625" style="13" bestFit="1" customWidth="1"/>
    <col min="13" max="16384" width="12.5546875" style="13"/>
  </cols>
  <sheetData>
    <row r="1" spans="2:12" ht="13.2" thickBot="1" x14ac:dyDescent="0.25"/>
    <row r="2" spans="2:12" ht="13.2" thickBot="1" x14ac:dyDescent="0.25">
      <c r="B2" s="14"/>
      <c r="C2" s="15"/>
      <c r="D2" s="15"/>
      <c r="E2" s="15"/>
      <c r="F2" s="16"/>
    </row>
    <row r="3" spans="2:12" ht="13.8" thickBot="1" x14ac:dyDescent="0.3">
      <c r="B3" s="17"/>
      <c r="C3" s="183" t="s">
        <v>99</v>
      </c>
      <c r="D3"/>
      <c r="F3" s="20"/>
    </row>
    <row r="4" spans="2:12" x14ac:dyDescent="0.2">
      <c r="B4" s="17"/>
      <c r="C4" s="19"/>
      <c r="D4" s="19"/>
      <c r="E4" s="19"/>
      <c r="F4" s="20"/>
    </row>
    <row r="5" spans="2:12" x14ac:dyDescent="0.2">
      <c r="B5" s="17"/>
      <c r="C5" s="18" t="str">
        <f>VLOOKUP($C$3,$H$9:$L$28,3,FALSE)</f>
        <v>13,rue Nobel</v>
      </c>
      <c r="D5" s="19"/>
      <c r="E5" s="19"/>
      <c r="F5" s="20"/>
      <c r="L5" s="50" t="s">
        <v>246</v>
      </c>
    </row>
    <row r="6" spans="2:12" x14ac:dyDescent="0.2">
      <c r="B6" s="17"/>
      <c r="C6" s="18" t="str">
        <f>VLOOKUP($C$3,$H$9:$L$28,4,FALSE)</f>
        <v>Boulogne</v>
      </c>
      <c r="D6" s="19"/>
      <c r="E6" s="19"/>
      <c r="F6" s="20"/>
    </row>
    <row r="7" spans="2:12" x14ac:dyDescent="0.2">
      <c r="B7" s="17"/>
      <c r="C7" s="18">
        <f>VLOOKUP($C$3,$H$9:$L$28,5,FALSE)</f>
        <v>92100</v>
      </c>
      <c r="D7" s="19"/>
      <c r="E7" s="19"/>
      <c r="F7" s="20"/>
    </row>
    <row r="8" spans="2:12" x14ac:dyDescent="0.2">
      <c r="B8" s="17"/>
      <c r="C8" s="19"/>
      <c r="D8" s="19"/>
      <c r="E8" s="19"/>
      <c r="F8" s="20"/>
      <c r="H8" s="21" t="s">
        <v>88</v>
      </c>
      <c r="I8" s="22" t="s">
        <v>89</v>
      </c>
      <c r="J8" s="22" t="s">
        <v>90</v>
      </c>
      <c r="K8" s="22" t="s">
        <v>91</v>
      </c>
      <c r="L8" s="22" t="s">
        <v>92</v>
      </c>
    </row>
    <row r="9" spans="2:12" x14ac:dyDescent="0.2">
      <c r="B9" s="17"/>
      <c r="C9" s="19"/>
      <c r="D9" s="19"/>
      <c r="E9" s="19"/>
      <c r="F9" s="20"/>
      <c r="H9" s="23" t="s">
        <v>97</v>
      </c>
      <c r="I9" s="24" t="s">
        <v>93</v>
      </c>
      <c r="J9" s="24" t="s">
        <v>15</v>
      </c>
      <c r="K9" s="24" t="s">
        <v>16</v>
      </c>
      <c r="L9" s="25">
        <v>92100</v>
      </c>
    </row>
    <row r="10" spans="2:12" x14ac:dyDescent="0.2">
      <c r="B10" s="17"/>
      <c r="C10" s="19"/>
      <c r="D10" s="19"/>
      <c r="E10" s="19"/>
      <c r="F10" s="20"/>
      <c r="H10" s="23" t="s">
        <v>98</v>
      </c>
      <c r="I10" s="24" t="s">
        <v>94</v>
      </c>
      <c r="J10" s="24" t="s">
        <v>17</v>
      </c>
      <c r="K10" s="24" t="s">
        <v>18</v>
      </c>
      <c r="L10" s="25">
        <v>75008</v>
      </c>
    </row>
    <row r="11" spans="2:12" x14ac:dyDescent="0.2">
      <c r="B11" s="17"/>
      <c r="C11" s="19"/>
      <c r="D11" s="19"/>
      <c r="E11" s="19"/>
      <c r="F11" s="20"/>
      <c r="H11" s="23" t="s">
        <v>99</v>
      </c>
      <c r="I11" s="24" t="s">
        <v>93</v>
      </c>
      <c r="J11" s="24" t="s">
        <v>19</v>
      </c>
      <c r="K11" s="24" t="s">
        <v>20</v>
      </c>
      <c r="L11" s="25">
        <v>92100</v>
      </c>
    </row>
    <row r="12" spans="2:12" x14ac:dyDescent="0.2">
      <c r="B12" s="17"/>
      <c r="C12" s="19"/>
      <c r="D12" s="19"/>
      <c r="E12" s="19"/>
      <c r="F12" s="20"/>
      <c r="H12" s="23" t="s">
        <v>100</v>
      </c>
      <c r="I12" s="24" t="s">
        <v>94</v>
      </c>
      <c r="J12" s="24" t="s">
        <v>21</v>
      </c>
      <c r="K12" s="24" t="s">
        <v>22</v>
      </c>
      <c r="L12" s="25">
        <v>78180</v>
      </c>
    </row>
    <row r="13" spans="2:12" x14ac:dyDescent="0.2">
      <c r="B13" s="17"/>
      <c r="C13" s="19" t="str">
        <f>IF(VLOOKUP(C3,$H$9:$I$28,2,FALSE)="Pan","Vážený pane…","Vážená paní…")</f>
        <v>Vážený pane…</v>
      </c>
      <c r="D13" s="19"/>
      <c r="E13" s="19"/>
      <c r="F13" s="20"/>
      <c r="H13" s="23" t="s">
        <v>101</v>
      </c>
      <c r="I13" s="24" t="s">
        <v>94</v>
      </c>
      <c r="J13" s="24" t="s">
        <v>24</v>
      </c>
      <c r="K13" s="24" t="s">
        <v>16</v>
      </c>
      <c r="L13" s="25">
        <v>78180</v>
      </c>
    </row>
    <row r="14" spans="2:12" x14ac:dyDescent="0.2">
      <c r="B14" s="17"/>
      <c r="C14" s="19"/>
      <c r="D14" s="19"/>
      <c r="E14" s="19"/>
      <c r="F14" s="20"/>
      <c r="H14" s="23" t="s">
        <v>102</v>
      </c>
      <c r="I14" s="24" t="s">
        <v>94</v>
      </c>
      <c r="J14" s="24" t="s">
        <v>19</v>
      </c>
      <c r="K14" s="24" t="s">
        <v>18</v>
      </c>
      <c r="L14" s="25">
        <v>92100</v>
      </c>
    </row>
    <row r="15" spans="2:12" x14ac:dyDescent="0.2">
      <c r="B15" s="17"/>
      <c r="C15" s="19"/>
      <c r="D15" s="19"/>
      <c r="E15" s="19"/>
      <c r="F15" s="20"/>
      <c r="H15" s="23" t="s">
        <v>103</v>
      </c>
      <c r="I15" s="24" t="s">
        <v>94</v>
      </c>
      <c r="J15" s="24" t="s">
        <v>15</v>
      </c>
      <c r="K15" s="24" t="s">
        <v>18</v>
      </c>
      <c r="L15" s="25">
        <v>75008</v>
      </c>
    </row>
    <row r="16" spans="2:12" x14ac:dyDescent="0.2">
      <c r="B16" s="17"/>
      <c r="C16" s="19"/>
      <c r="D16" s="19"/>
      <c r="E16" s="19"/>
      <c r="F16" s="20"/>
      <c r="H16" s="23" t="s">
        <v>104</v>
      </c>
      <c r="I16" s="24" t="s">
        <v>93</v>
      </c>
      <c r="J16" s="24" t="s">
        <v>17</v>
      </c>
      <c r="K16" s="24" t="s">
        <v>25</v>
      </c>
      <c r="L16" s="25">
        <v>92100</v>
      </c>
    </row>
    <row r="17" spans="2:12" x14ac:dyDescent="0.2">
      <c r="B17" s="17"/>
      <c r="C17" s="19"/>
      <c r="D17" s="19"/>
      <c r="E17" s="19"/>
      <c r="F17" s="20"/>
      <c r="H17" s="23" t="s">
        <v>105</v>
      </c>
      <c r="I17" s="24" t="s">
        <v>93</v>
      </c>
      <c r="J17" s="24" t="s">
        <v>19</v>
      </c>
      <c r="K17" s="24" t="s">
        <v>26</v>
      </c>
      <c r="L17" s="25">
        <v>78180</v>
      </c>
    </row>
    <row r="18" spans="2:12" x14ac:dyDescent="0.2">
      <c r="B18" s="17"/>
      <c r="C18" s="19"/>
      <c r="D18" s="19"/>
      <c r="E18" s="19"/>
      <c r="F18" s="20"/>
      <c r="H18" s="23" t="s">
        <v>106</v>
      </c>
      <c r="I18" s="24" t="s">
        <v>93</v>
      </c>
      <c r="J18" s="24" t="s">
        <v>15</v>
      </c>
      <c r="K18" s="24" t="s">
        <v>18</v>
      </c>
      <c r="L18" s="25">
        <v>78180</v>
      </c>
    </row>
    <row r="19" spans="2:12" x14ac:dyDescent="0.2">
      <c r="B19" s="17"/>
      <c r="C19" s="19"/>
      <c r="D19" s="19"/>
      <c r="E19" s="19"/>
      <c r="F19" s="20"/>
      <c r="H19" s="23" t="s">
        <v>107</v>
      </c>
      <c r="I19" s="24" t="s">
        <v>94</v>
      </c>
      <c r="J19" s="24" t="s">
        <v>17</v>
      </c>
      <c r="K19" s="24" t="s">
        <v>22</v>
      </c>
      <c r="L19" s="25">
        <v>92100</v>
      </c>
    </row>
    <row r="20" spans="2:12" x14ac:dyDescent="0.2">
      <c r="B20" s="17"/>
      <c r="C20" s="19"/>
      <c r="D20" s="19"/>
      <c r="E20" s="19"/>
      <c r="F20" s="20"/>
      <c r="H20" s="23" t="s">
        <v>108</v>
      </c>
      <c r="I20" s="24" t="s">
        <v>94</v>
      </c>
      <c r="J20" s="24" t="s">
        <v>19</v>
      </c>
      <c r="K20" s="24" t="s">
        <v>16</v>
      </c>
      <c r="L20" s="25">
        <v>75008</v>
      </c>
    </row>
    <row r="21" spans="2:12" x14ac:dyDescent="0.2">
      <c r="B21" s="17"/>
      <c r="C21" s="19"/>
      <c r="D21" s="19"/>
      <c r="E21" s="19"/>
      <c r="F21" s="20"/>
      <c r="H21" s="23" t="s">
        <v>109</v>
      </c>
      <c r="I21" s="24" t="s">
        <v>94</v>
      </c>
      <c r="J21" s="24" t="s">
        <v>15</v>
      </c>
      <c r="K21" s="24" t="s">
        <v>20</v>
      </c>
      <c r="L21" s="25">
        <v>92100</v>
      </c>
    </row>
    <row r="22" spans="2:12" x14ac:dyDescent="0.2">
      <c r="B22" s="17"/>
      <c r="C22" s="19"/>
      <c r="D22" s="19"/>
      <c r="E22" s="19"/>
      <c r="F22" s="20"/>
      <c r="H22" s="23" t="s">
        <v>110</v>
      </c>
      <c r="I22" s="24" t="s">
        <v>94</v>
      </c>
      <c r="J22" s="24" t="s">
        <v>17</v>
      </c>
      <c r="K22" s="24" t="s">
        <v>16</v>
      </c>
      <c r="L22" s="25">
        <v>78180</v>
      </c>
    </row>
    <row r="23" spans="2:12" x14ac:dyDescent="0.2">
      <c r="B23" s="17"/>
      <c r="D23" s="19"/>
      <c r="E23" s="19"/>
      <c r="F23" s="20"/>
      <c r="H23" s="23" t="s">
        <v>111</v>
      </c>
      <c r="I23" s="24" t="s">
        <v>94</v>
      </c>
      <c r="J23" s="24" t="s">
        <v>19</v>
      </c>
      <c r="K23" s="24" t="s">
        <v>22</v>
      </c>
      <c r="L23" s="25">
        <v>78180</v>
      </c>
    </row>
    <row r="24" spans="2:12" x14ac:dyDescent="0.2">
      <c r="B24" s="17"/>
      <c r="C24" s="19"/>
      <c r="D24" s="19"/>
      <c r="E24" s="19"/>
      <c r="F24" s="20"/>
      <c r="H24" s="23" t="s">
        <v>112</v>
      </c>
      <c r="I24" s="24" t="s">
        <v>94</v>
      </c>
      <c r="J24" s="24" t="s">
        <v>15</v>
      </c>
      <c r="K24" s="24" t="s">
        <v>18</v>
      </c>
      <c r="L24" s="25">
        <v>92100</v>
      </c>
    </row>
    <row r="25" spans="2:12" x14ac:dyDescent="0.2">
      <c r="B25" s="17"/>
      <c r="C25" s="19"/>
      <c r="D25" s="19"/>
      <c r="E25" s="19" t="s">
        <v>95</v>
      </c>
      <c r="F25" s="20"/>
      <c r="H25" s="23" t="s">
        <v>113</v>
      </c>
      <c r="I25" s="24" t="s">
        <v>94</v>
      </c>
      <c r="J25" s="24" t="s">
        <v>17</v>
      </c>
      <c r="K25" s="24" t="s">
        <v>25</v>
      </c>
      <c r="L25" s="25">
        <v>75008</v>
      </c>
    </row>
    <row r="26" spans="2:12" x14ac:dyDescent="0.2">
      <c r="B26" s="17"/>
      <c r="C26" s="19"/>
      <c r="D26" s="19"/>
      <c r="E26" s="19"/>
      <c r="F26" s="20"/>
      <c r="H26" s="23" t="s">
        <v>114</v>
      </c>
      <c r="I26" s="24" t="s">
        <v>93</v>
      </c>
      <c r="J26" s="24" t="s">
        <v>19</v>
      </c>
      <c r="K26" s="24" t="s">
        <v>20</v>
      </c>
      <c r="L26" s="25">
        <v>92100</v>
      </c>
    </row>
    <row r="27" spans="2:12" x14ac:dyDescent="0.2">
      <c r="B27" s="17"/>
      <c r="C27" s="19"/>
      <c r="E27" s="19" t="s">
        <v>96</v>
      </c>
      <c r="F27" s="20"/>
      <c r="H27" s="23" t="s">
        <v>115</v>
      </c>
      <c r="I27" s="24" t="s">
        <v>94</v>
      </c>
      <c r="J27" s="24" t="s">
        <v>15</v>
      </c>
      <c r="K27" s="24" t="s">
        <v>18</v>
      </c>
      <c r="L27" s="25">
        <v>78180</v>
      </c>
    </row>
    <row r="28" spans="2:12" ht="13.2" thickBot="1" x14ac:dyDescent="0.25">
      <c r="B28" s="26"/>
      <c r="C28" s="27"/>
      <c r="D28" s="27"/>
      <c r="E28" s="27"/>
      <c r="F28" s="28"/>
      <c r="H28" s="23" t="s">
        <v>116</v>
      </c>
      <c r="I28" s="24" t="s">
        <v>93</v>
      </c>
      <c r="J28" s="24" t="s">
        <v>17</v>
      </c>
      <c r="K28" s="24" t="s">
        <v>26</v>
      </c>
      <c r="L28" s="25">
        <v>78180</v>
      </c>
    </row>
    <row r="30" spans="2:12" x14ac:dyDescent="0.2">
      <c r="H30" s="141"/>
      <c r="I30" s="140" t="s">
        <v>43</v>
      </c>
    </row>
    <row r="32" spans="2:12" x14ac:dyDescent="0.2">
      <c r="H32" s="140"/>
      <c r="I32" s="140"/>
    </row>
    <row r="33" spans="8:9" x14ac:dyDescent="0.2">
      <c r="H33" s="140"/>
      <c r="I33" s="140"/>
    </row>
    <row r="34" spans="8:9" x14ac:dyDescent="0.2">
      <c r="H34" s="140"/>
      <c r="I34" s="140"/>
    </row>
    <row r="35" spans="8:9" x14ac:dyDescent="0.2">
      <c r="H35" s="140"/>
      <c r="I35" s="140"/>
    </row>
    <row r="36" spans="8:9" x14ac:dyDescent="0.2">
      <c r="H36" s="140"/>
      <c r="I36" s="140"/>
    </row>
    <row r="37" spans="8:9" x14ac:dyDescent="0.2">
      <c r="H37" s="140"/>
      <c r="I37" s="140"/>
    </row>
    <row r="38" spans="8:9" x14ac:dyDescent="0.2">
      <c r="H38" s="140"/>
      <c r="I38" s="140"/>
    </row>
    <row r="39" spans="8:9" x14ac:dyDescent="0.2">
      <c r="H39" s="140"/>
      <c r="I39" s="140"/>
    </row>
    <row r="40" spans="8:9" x14ac:dyDescent="0.2">
      <c r="H40" s="140"/>
      <c r="I40" s="140"/>
    </row>
    <row r="41" spans="8:9" x14ac:dyDescent="0.2">
      <c r="H41" s="140"/>
      <c r="I41" s="140"/>
    </row>
    <row r="42" spans="8:9" x14ac:dyDescent="0.2">
      <c r="H42" s="140"/>
      <c r="I42" s="140"/>
    </row>
    <row r="43" spans="8:9" x14ac:dyDescent="0.2">
      <c r="H43" s="140"/>
      <c r="I43" s="140"/>
    </row>
    <row r="44" spans="8:9" x14ac:dyDescent="0.2">
      <c r="H44" s="140"/>
      <c r="I44" s="140"/>
    </row>
    <row r="45" spans="8:9" x14ac:dyDescent="0.2">
      <c r="H45" s="140"/>
      <c r="I45" s="140"/>
    </row>
    <row r="46" spans="8:9" x14ac:dyDescent="0.2">
      <c r="H46" s="140"/>
      <c r="I46" s="140"/>
    </row>
    <row r="47" spans="8:9" x14ac:dyDescent="0.2">
      <c r="H47" s="140"/>
      <c r="I47" s="140"/>
    </row>
  </sheetData>
  <phoneticPr fontId="14" type="noConversion"/>
  <conditionalFormatting sqref="H9:L28">
    <cfRule type="expression" dxfId="24" priority="1" stopIfTrue="1">
      <formula>$H9=$C$3</formula>
    </cfRule>
  </conditionalFormatting>
  <dataValidations count="2">
    <dataValidation type="list" allowBlank="1" showInputMessage="1" showErrorMessage="1" sqref="B2">
      <formula1>$H$9:$H$28</formula1>
    </dataValidation>
    <dataValidation type="list" allowBlank="1" showInputMessage="1" showErrorMessage="1" prompt="Vyberte jméno_x000a_" sqref="C3">
      <formula1>$H$9:$H$28</formula1>
    </dataValidation>
  </dataValidations>
  <hyperlinks>
    <hyperlink ref="L5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R11"/>
  <sheetViews>
    <sheetView showGridLines="0" workbookViewId="0">
      <selection activeCell="M11" sqref="M11"/>
    </sheetView>
  </sheetViews>
  <sheetFormatPr defaultColWidth="11.44140625" defaultRowHeight="11.4" x14ac:dyDescent="0.2"/>
  <cols>
    <col min="1" max="1" width="16.6640625" style="1" bestFit="1" customWidth="1"/>
    <col min="2" max="2" width="8.44140625" style="1" customWidth="1"/>
    <col min="3" max="3" width="8.88671875" style="1" customWidth="1"/>
    <col min="4" max="4" width="10.88671875" style="1" customWidth="1"/>
    <col min="5" max="5" width="8.5546875" style="1" customWidth="1"/>
    <col min="6" max="6" width="7.5546875" style="1" bestFit="1" customWidth="1"/>
    <col min="7" max="18" width="5.5546875" style="1" bestFit="1" customWidth="1"/>
    <col min="19" max="16384" width="11.44140625" style="1"/>
  </cols>
  <sheetData>
    <row r="1" spans="1:18" ht="12" thickBot="1" x14ac:dyDescent="0.25">
      <c r="A1" s="159" t="s">
        <v>225</v>
      </c>
      <c r="B1" s="2" t="s">
        <v>307</v>
      </c>
      <c r="F1" s="169"/>
      <c r="G1" s="167" t="s">
        <v>293</v>
      </c>
      <c r="H1" s="167" t="s">
        <v>294</v>
      </c>
      <c r="I1" s="167" t="s">
        <v>295</v>
      </c>
      <c r="J1" s="167" t="s">
        <v>296</v>
      </c>
      <c r="K1" s="167" t="s">
        <v>297</v>
      </c>
      <c r="L1" s="167" t="s">
        <v>298</v>
      </c>
      <c r="M1" s="167" t="s">
        <v>299</v>
      </c>
      <c r="N1" s="167" t="s">
        <v>300</v>
      </c>
      <c r="O1" s="167" t="s">
        <v>301</v>
      </c>
      <c r="P1" s="167" t="s">
        <v>302</v>
      </c>
      <c r="Q1" s="167" t="s">
        <v>303</v>
      </c>
      <c r="R1" s="167" t="s">
        <v>304</v>
      </c>
    </row>
    <row r="2" spans="1:18" x14ac:dyDescent="0.2">
      <c r="A2" s="159" t="s">
        <v>127</v>
      </c>
      <c r="B2" s="2">
        <v>8</v>
      </c>
      <c r="F2" s="173" t="s">
        <v>306</v>
      </c>
      <c r="G2" s="32">
        <v>1000</v>
      </c>
      <c r="H2" s="32">
        <v>1100</v>
      </c>
      <c r="I2" s="32">
        <v>1200</v>
      </c>
      <c r="J2" s="32">
        <v>1300</v>
      </c>
      <c r="K2" s="32">
        <v>1400</v>
      </c>
      <c r="L2" s="32">
        <v>1500</v>
      </c>
      <c r="M2" s="32">
        <v>1600</v>
      </c>
      <c r="N2" s="32">
        <v>1700</v>
      </c>
      <c r="O2" s="32">
        <v>1800</v>
      </c>
      <c r="P2" s="32">
        <v>1900</v>
      </c>
      <c r="Q2" s="32">
        <v>2000</v>
      </c>
      <c r="R2" s="33">
        <v>2100</v>
      </c>
    </row>
    <row r="3" spans="1:18" ht="12" thickBot="1" x14ac:dyDescent="0.25">
      <c r="F3" s="174" t="s">
        <v>307</v>
      </c>
      <c r="G3" s="2">
        <v>2000</v>
      </c>
      <c r="H3" s="2">
        <v>2100</v>
      </c>
      <c r="I3" s="2">
        <v>2200</v>
      </c>
      <c r="J3" s="2">
        <v>2300</v>
      </c>
      <c r="K3" s="2">
        <v>2400</v>
      </c>
      <c r="L3" s="2">
        <v>2500</v>
      </c>
      <c r="M3" s="2">
        <v>2600</v>
      </c>
      <c r="N3" s="2">
        <v>2700</v>
      </c>
      <c r="O3" s="2">
        <v>2800</v>
      </c>
      <c r="P3" s="2">
        <v>2900</v>
      </c>
      <c r="Q3" s="2">
        <v>3000</v>
      </c>
      <c r="R3" s="34">
        <v>3100</v>
      </c>
    </row>
    <row r="4" spans="1:18" ht="12" thickBot="1" x14ac:dyDescent="0.25">
      <c r="A4" s="159" t="s">
        <v>342</v>
      </c>
      <c r="B4" s="175">
        <f>VLOOKUP(B1,F2:R5,B2+1,FALSE)</f>
        <v>2700</v>
      </c>
      <c r="F4" s="174" t="s">
        <v>308</v>
      </c>
      <c r="G4" s="2">
        <v>3000</v>
      </c>
      <c r="H4" s="2">
        <v>3100</v>
      </c>
      <c r="I4" s="2">
        <v>3200</v>
      </c>
      <c r="J4" s="2">
        <v>3300</v>
      </c>
      <c r="K4" s="2">
        <v>3400</v>
      </c>
      <c r="L4" s="2">
        <v>3500</v>
      </c>
      <c r="M4" s="2">
        <v>3600</v>
      </c>
      <c r="N4" s="2">
        <v>3700</v>
      </c>
      <c r="O4" s="2">
        <v>3800</v>
      </c>
      <c r="P4" s="2">
        <v>3900</v>
      </c>
      <c r="Q4" s="2">
        <v>4000</v>
      </c>
      <c r="R4" s="34">
        <v>4100</v>
      </c>
    </row>
    <row r="5" spans="1:18" ht="12" thickBot="1" x14ac:dyDescent="0.25">
      <c r="F5" s="176" t="s">
        <v>309</v>
      </c>
      <c r="G5" s="35">
        <v>4000</v>
      </c>
      <c r="H5" s="35">
        <v>4100</v>
      </c>
      <c r="I5" s="35">
        <v>4200</v>
      </c>
      <c r="J5" s="35">
        <v>4300</v>
      </c>
      <c r="K5" s="35">
        <v>4400</v>
      </c>
      <c r="L5" s="35">
        <v>4500</v>
      </c>
      <c r="M5" s="35">
        <v>4600</v>
      </c>
      <c r="N5" s="35">
        <v>4700</v>
      </c>
      <c r="O5" s="35">
        <v>4800</v>
      </c>
      <c r="P5" s="35">
        <v>4900</v>
      </c>
      <c r="Q5" s="35">
        <v>5000</v>
      </c>
      <c r="R5" s="36">
        <v>5100</v>
      </c>
    </row>
    <row r="11" spans="1:18" x14ac:dyDescent="0.2">
      <c r="M11" s="50" t="s">
        <v>246</v>
      </c>
    </row>
  </sheetData>
  <phoneticPr fontId="20" type="noConversion"/>
  <conditionalFormatting sqref="G2:R5">
    <cfRule type="expression" dxfId="23" priority="1" stopIfTrue="1">
      <formula>$B$4=G2</formula>
    </cfRule>
  </conditionalFormatting>
  <dataValidations count="2">
    <dataValidation type="list" allowBlank="1" showInputMessage="1" showErrorMessage="1" sqref="B2">
      <formula1>"1,2,3,4,5,6,7,8,9,10,11,12"</formula1>
    </dataValidation>
    <dataValidation type="list" allowBlank="1" showInputMessage="1" showErrorMessage="1" sqref="B1">
      <formula1>$F$2:$F$5</formula1>
    </dataValidation>
  </dataValidations>
  <hyperlinks>
    <hyperlink ref="M11" location="Obsah!A1" display="Obsah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B2:J23"/>
  <sheetViews>
    <sheetView showGridLines="0" workbookViewId="0">
      <selection activeCell="D26" sqref="D26"/>
    </sheetView>
  </sheetViews>
  <sheetFormatPr defaultColWidth="11.44140625" defaultRowHeight="12.6" x14ac:dyDescent="0.2"/>
  <cols>
    <col min="1" max="16384" width="11.44140625" style="51"/>
  </cols>
  <sheetData>
    <row r="2" spans="2:10" x14ac:dyDescent="0.2">
      <c r="J2" s="50" t="s">
        <v>246</v>
      </c>
    </row>
    <row r="10" spans="2:10" x14ac:dyDescent="0.2">
      <c r="H10" s="1"/>
    </row>
    <row r="13" spans="2:10" x14ac:dyDescent="0.2">
      <c r="F13" s="144"/>
      <c r="G13" s="144"/>
    </row>
    <row r="14" spans="2:10" x14ac:dyDescent="0.2">
      <c r="B14" s="31" t="s">
        <v>125</v>
      </c>
      <c r="C14" s="117"/>
      <c r="D14" s="31" t="s">
        <v>126</v>
      </c>
      <c r="F14" s="144"/>
      <c r="G14" s="144"/>
    </row>
    <row r="15" spans="2:10" x14ac:dyDescent="0.2">
      <c r="B15" s="121" t="s">
        <v>12</v>
      </c>
      <c r="D15" s="122">
        <f>MATCH(B15,$B$18:$B$21,0)</f>
        <v>3</v>
      </c>
      <c r="F15" s="144"/>
      <c r="G15" s="144"/>
    </row>
    <row r="16" spans="2:10" x14ac:dyDescent="0.2">
      <c r="F16" s="144"/>
      <c r="G16" s="144"/>
    </row>
    <row r="17" spans="2:7" x14ac:dyDescent="0.2">
      <c r="B17" s="120" t="s">
        <v>124</v>
      </c>
      <c r="F17" s="144"/>
      <c r="G17" s="144"/>
    </row>
    <row r="18" spans="2:7" x14ac:dyDescent="0.2">
      <c r="B18" s="6" t="s">
        <v>11</v>
      </c>
      <c r="F18" s="144"/>
      <c r="G18" s="144"/>
    </row>
    <row r="19" spans="2:7" x14ac:dyDescent="0.2">
      <c r="B19" s="6" t="s">
        <v>10</v>
      </c>
    </row>
    <row r="20" spans="2:7" x14ac:dyDescent="0.2">
      <c r="B20" s="6" t="s">
        <v>12</v>
      </c>
    </row>
    <row r="21" spans="2:7" x14ac:dyDescent="0.2">
      <c r="B21" s="6" t="s">
        <v>13</v>
      </c>
      <c r="F21" s="144"/>
      <c r="G21" s="144"/>
    </row>
    <row r="22" spans="2:7" x14ac:dyDescent="0.2">
      <c r="F22" s="144"/>
      <c r="G22" s="144"/>
    </row>
    <row r="23" spans="2:7" x14ac:dyDescent="0.2">
      <c r="F23" s="144"/>
      <c r="G23" s="144"/>
    </row>
  </sheetData>
  <phoneticPr fontId="20" type="noConversion"/>
  <conditionalFormatting sqref="B18:B21">
    <cfRule type="cellIs" dxfId="22" priority="1" stopIfTrue="1" operator="equal">
      <formula>$B$15</formula>
    </cfRule>
  </conditionalFormatting>
  <dataValidations count="1">
    <dataValidation type="list" allowBlank="1" showInputMessage="1" showErrorMessage="1" sqref="B15">
      <formula1>"A,B,C,D"</formula1>
    </dataValidation>
  </dataValidations>
  <hyperlinks>
    <hyperlink ref="J2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AF35"/>
  <sheetViews>
    <sheetView showGridLines="0" workbookViewId="0">
      <selection activeCell="AC2" sqref="AC2"/>
    </sheetView>
  </sheetViews>
  <sheetFormatPr defaultColWidth="11.44140625" defaultRowHeight="11.4" x14ac:dyDescent="0.2"/>
  <cols>
    <col min="1" max="1" width="12.5546875" style="125" bestFit="1" customWidth="1"/>
    <col min="2" max="2" width="5" style="125" bestFit="1" customWidth="1"/>
    <col min="3" max="14" width="3.88671875" style="125" customWidth="1"/>
    <col min="15" max="34" width="4" style="125" bestFit="1" customWidth="1"/>
    <col min="35" max="35" width="4.44140625" style="125" bestFit="1" customWidth="1"/>
    <col min="36" max="16384" width="11.44140625" style="125"/>
  </cols>
  <sheetData>
    <row r="1" spans="1:32" ht="11.25" customHeight="1" x14ac:dyDescent="0.2">
      <c r="A1" s="123" t="s">
        <v>127</v>
      </c>
      <c r="B1" s="124">
        <f ca="1">MONTH(TODAY())</f>
        <v>2</v>
      </c>
    </row>
    <row r="2" spans="1:32" ht="13.5" customHeight="1" x14ac:dyDescent="0.2">
      <c r="A2" s="123" t="s">
        <v>128</v>
      </c>
      <c r="B2" s="124">
        <f ca="1">DAY(TODAY())</f>
        <v>21</v>
      </c>
      <c r="AC2" s="50" t="s">
        <v>246</v>
      </c>
    </row>
    <row r="3" spans="1:32" ht="12" thickBot="1" x14ac:dyDescent="0.25">
      <c r="A3" s="123"/>
      <c r="AC3" s="1"/>
    </row>
    <row r="4" spans="1:32" ht="12" thickBot="1" x14ac:dyDescent="0.25">
      <c r="A4" s="123" t="s">
        <v>129</v>
      </c>
      <c r="B4" s="146">
        <f ca="1">INDEX($B$8:$AF$19,B1,B2)</f>
        <v>9.8000000000000096</v>
      </c>
    </row>
    <row r="6" spans="1:32" x14ac:dyDescent="0.2">
      <c r="B6" s="126" t="s">
        <v>128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</row>
    <row r="7" spans="1:32" ht="12" thickBot="1" x14ac:dyDescent="0.25">
      <c r="A7" s="127"/>
      <c r="B7" s="128">
        <v>1</v>
      </c>
      <c r="C7" s="128">
        <v>2</v>
      </c>
      <c r="D7" s="128">
        <v>3</v>
      </c>
      <c r="E7" s="128">
        <v>4</v>
      </c>
      <c r="F7" s="128">
        <v>5</v>
      </c>
      <c r="G7" s="128">
        <v>6</v>
      </c>
      <c r="H7" s="128">
        <v>7</v>
      </c>
      <c r="I7" s="128">
        <v>8</v>
      </c>
      <c r="J7" s="128">
        <v>9</v>
      </c>
      <c r="K7" s="128">
        <v>10</v>
      </c>
      <c r="L7" s="128">
        <v>11</v>
      </c>
      <c r="M7" s="128">
        <v>12</v>
      </c>
      <c r="N7" s="128">
        <v>13</v>
      </c>
      <c r="O7" s="128">
        <v>14</v>
      </c>
      <c r="P7" s="128">
        <v>15</v>
      </c>
      <c r="Q7" s="128">
        <v>16</v>
      </c>
      <c r="R7" s="128">
        <v>17</v>
      </c>
      <c r="S7" s="128">
        <v>18</v>
      </c>
      <c r="T7" s="128">
        <v>19</v>
      </c>
      <c r="U7" s="128">
        <v>20</v>
      </c>
      <c r="V7" s="128">
        <v>21</v>
      </c>
      <c r="W7" s="128">
        <v>22</v>
      </c>
      <c r="X7" s="128">
        <v>23</v>
      </c>
      <c r="Y7" s="128">
        <v>24</v>
      </c>
      <c r="Z7" s="128">
        <v>25</v>
      </c>
      <c r="AA7" s="128">
        <v>26</v>
      </c>
      <c r="AB7" s="128">
        <v>27</v>
      </c>
      <c r="AC7" s="128">
        <v>28</v>
      </c>
      <c r="AD7" s="128">
        <v>29</v>
      </c>
      <c r="AE7" s="128">
        <v>30</v>
      </c>
      <c r="AF7" s="128">
        <v>31</v>
      </c>
    </row>
    <row r="8" spans="1:32" x14ac:dyDescent="0.2">
      <c r="A8" s="128" t="s">
        <v>130</v>
      </c>
      <c r="B8" s="129">
        <v>3</v>
      </c>
      <c r="C8" s="130">
        <v>3</v>
      </c>
      <c r="D8" s="130">
        <v>3</v>
      </c>
      <c r="E8" s="130">
        <v>4</v>
      </c>
      <c r="F8" s="130">
        <v>4</v>
      </c>
      <c r="G8" s="130">
        <v>4.3</v>
      </c>
      <c r="H8" s="130">
        <v>4.5999999999999996</v>
      </c>
      <c r="I8" s="130">
        <v>4.9000000000000004</v>
      </c>
      <c r="J8" s="130">
        <v>5.2000000000000099</v>
      </c>
      <c r="K8" s="130">
        <v>5.5000000000000098</v>
      </c>
      <c r="L8" s="130">
        <v>5.8000000000000096</v>
      </c>
      <c r="M8" s="130">
        <v>6.1000000000000103</v>
      </c>
      <c r="N8" s="130">
        <v>6.4000000000000101</v>
      </c>
      <c r="O8" s="130">
        <v>6.7000000000000099</v>
      </c>
      <c r="P8" s="130">
        <v>7.0000000000000098</v>
      </c>
      <c r="Q8" s="130">
        <v>7.3000000000000096</v>
      </c>
      <c r="R8" s="130">
        <v>7.6000000000000103</v>
      </c>
      <c r="S8" s="130">
        <v>7.9000000000000101</v>
      </c>
      <c r="T8" s="130">
        <v>8.2000000000000099</v>
      </c>
      <c r="U8" s="130">
        <v>8.5000000000000107</v>
      </c>
      <c r="V8" s="130">
        <v>8.8000000000000096</v>
      </c>
      <c r="W8" s="130">
        <v>9.1000000000000103</v>
      </c>
      <c r="X8" s="130">
        <v>9.4000000000000199</v>
      </c>
      <c r="Y8" s="130">
        <v>9.7000000000000206</v>
      </c>
      <c r="Z8" s="130">
        <v>10</v>
      </c>
      <c r="AA8" s="130">
        <v>10.3</v>
      </c>
      <c r="AB8" s="130">
        <v>10.6</v>
      </c>
      <c r="AC8" s="130">
        <v>10.9</v>
      </c>
      <c r="AD8" s="130">
        <v>11.2</v>
      </c>
      <c r="AE8" s="130">
        <v>11.5</v>
      </c>
      <c r="AF8" s="131">
        <v>11.8</v>
      </c>
    </row>
    <row r="9" spans="1:32" x14ac:dyDescent="0.2">
      <c r="A9" s="128" t="s">
        <v>131</v>
      </c>
      <c r="B9" s="132">
        <v>4</v>
      </c>
      <c r="C9" s="133">
        <v>4</v>
      </c>
      <c r="D9" s="133">
        <v>4</v>
      </c>
      <c r="E9" s="133">
        <v>5</v>
      </c>
      <c r="F9" s="133">
        <v>5</v>
      </c>
      <c r="G9" s="133">
        <v>5.3</v>
      </c>
      <c r="H9" s="133">
        <v>5.6</v>
      </c>
      <c r="I9" s="133">
        <v>5.9</v>
      </c>
      <c r="J9" s="133">
        <v>6.2000000000000099</v>
      </c>
      <c r="K9" s="133">
        <v>6.5000000000000098</v>
      </c>
      <c r="L9" s="133">
        <v>6.8000000000000096</v>
      </c>
      <c r="M9" s="133">
        <v>7.1000000000000103</v>
      </c>
      <c r="N9" s="133">
        <v>7.4000000000000101</v>
      </c>
      <c r="O9" s="133">
        <v>7.7000000000000099</v>
      </c>
      <c r="P9" s="133">
        <v>8.0000000000000107</v>
      </c>
      <c r="Q9" s="133">
        <v>8.3000000000000096</v>
      </c>
      <c r="R9" s="133">
        <v>8.6000000000000103</v>
      </c>
      <c r="S9" s="133">
        <v>8.9000000000000092</v>
      </c>
      <c r="T9" s="133">
        <v>9.2000000000000099</v>
      </c>
      <c r="U9" s="133">
        <v>9.5000000000000107</v>
      </c>
      <c r="V9" s="133">
        <v>9.8000000000000096</v>
      </c>
      <c r="W9" s="133">
        <v>10.1</v>
      </c>
      <c r="X9" s="133">
        <v>10.4</v>
      </c>
      <c r="Y9" s="133">
        <v>10.7</v>
      </c>
      <c r="Z9" s="133">
        <v>11</v>
      </c>
      <c r="AA9" s="133">
        <v>11.3</v>
      </c>
      <c r="AB9" s="133">
        <v>11.6</v>
      </c>
      <c r="AC9" s="133">
        <v>11.9</v>
      </c>
      <c r="AD9" s="133"/>
      <c r="AE9" s="133"/>
      <c r="AF9" s="134"/>
    </row>
    <row r="10" spans="1:32" x14ac:dyDescent="0.2">
      <c r="A10" s="128" t="s">
        <v>132</v>
      </c>
      <c r="B10" s="132">
        <v>5</v>
      </c>
      <c r="C10" s="133">
        <v>5</v>
      </c>
      <c r="D10" s="133">
        <v>5</v>
      </c>
      <c r="E10" s="133">
        <v>6</v>
      </c>
      <c r="F10" s="133">
        <v>6</v>
      </c>
      <c r="G10" s="133">
        <v>6.3</v>
      </c>
      <c r="H10" s="133">
        <v>6.6</v>
      </c>
      <c r="I10" s="133">
        <v>6.9</v>
      </c>
      <c r="J10" s="133">
        <v>7.2000000000000099</v>
      </c>
      <c r="K10" s="133">
        <v>7.5000000000000098</v>
      </c>
      <c r="L10" s="133">
        <v>7.8000000000000096</v>
      </c>
      <c r="M10" s="133">
        <v>8.1000000000000103</v>
      </c>
      <c r="N10" s="133">
        <v>8.4000000000000092</v>
      </c>
      <c r="O10" s="133">
        <v>8.7000000000000099</v>
      </c>
      <c r="P10" s="133">
        <v>9.0000000000000107</v>
      </c>
      <c r="Q10" s="133">
        <v>9.3000000000000096</v>
      </c>
      <c r="R10" s="133">
        <v>9.6000000000000103</v>
      </c>
      <c r="S10" s="133">
        <v>9.9000000000000092</v>
      </c>
      <c r="T10" s="133">
        <v>10.199999999999999</v>
      </c>
      <c r="U10" s="133">
        <v>10.5</v>
      </c>
      <c r="V10" s="133">
        <v>10.8</v>
      </c>
      <c r="W10" s="133">
        <v>11.1</v>
      </c>
      <c r="X10" s="133">
        <v>11.4</v>
      </c>
      <c r="Y10" s="133">
        <v>11.7</v>
      </c>
      <c r="Z10" s="133">
        <v>12</v>
      </c>
      <c r="AA10" s="133">
        <v>12.3</v>
      </c>
      <c r="AB10" s="133">
        <v>12.6</v>
      </c>
      <c r="AC10" s="133">
        <v>12.9</v>
      </c>
      <c r="AD10" s="133">
        <v>13.2</v>
      </c>
      <c r="AE10" s="133">
        <v>13.5</v>
      </c>
      <c r="AF10" s="134">
        <v>13.8</v>
      </c>
    </row>
    <row r="11" spans="1:32" x14ac:dyDescent="0.2">
      <c r="A11" s="128" t="s">
        <v>133</v>
      </c>
      <c r="B11" s="132">
        <v>6</v>
      </c>
      <c r="C11" s="133">
        <v>6</v>
      </c>
      <c r="D11" s="133">
        <v>6</v>
      </c>
      <c r="E11" s="133">
        <v>7</v>
      </c>
      <c r="F11" s="133">
        <v>7</v>
      </c>
      <c r="G11" s="133">
        <v>7.3</v>
      </c>
      <c r="H11" s="133">
        <v>7.6</v>
      </c>
      <c r="I11" s="133">
        <v>7.9</v>
      </c>
      <c r="J11" s="133">
        <v>8.2000000000000099</v>
      </c>
      <c r="K11" s="133">
        <v>8.5000000000000107</v>
      </c>
      <c r="L11" s="133">
        <v>8.8000000000000096</v>
      </c>
      <c r="M11" s="133">
        <v>9.1000000000000103</v>
      </c>
      <c r="N11" s="133">
        <v>9.4000000000000092</v>
      </c>
      <c r="O11" s="133">
        <v>9.7000000000000099</v>
      </c>
      <c r="P11" s="133">
        <v>10</v>
      </c>
      <c r="Q11" s="133">
        <v>10.3</v>
      </c>
      <c r="R11" s="133">
        <v>10.6</v>
      </c>
      <c r="S11" s="133">
        <v>10.9</v>
      </c>
      <c r="T11" s="133">
        <v>11.2</v>
      </c>
      <c r="U11" s="133">
        <v>11.5</v>
      </c>
      <c r="V11" s="133">
        <v>11.8</v>
      </c>
      <c r="W11" s="133">
        <v>12.1</v>
      </c>
      <c r="X11" s="133">
        <v>12.4</v>
      </c>
      <c r="Y11" s="133">
        <v>12.7</v>
      </c>
      <c r="Z11" s="133">
        <v>13</v>
      </c>
      <c r="AA11" s="133">
        <v>13.3</v>
      </c>
      <c r="AB11" s="133">
        <v>13.6</v>
      </c>
      <c r="AC11" s="133">
        <v>13.9</v>
      </c>
      <c r="AD11" s="133">
        <v>14.2</v>
      </c>
      <c r="AE11" s="133">
        <v>14.5</v>
      </c>
      <c r="AF11" s="134"/>
    </row>
    <row r="12" spans="1:32" x14ac:dyDescent="0.2">
      <c r="A12" s="128" t="s">
        <v>134</v>
      </c>
      <c r="B12" s="132">
        <v>7</v>
      </c>
      <c r="C12" s="133">
        <v>7</v>
      </c>
      <c r="D12" s="133">
        <v>7</v>
      </c>
      <c r="E12" s="133">
        <v>8</v>
      </c>
      <c r="F12" s="133">
        <v>8</v>
      </c>
      <c r="G12" s="133">
        <v>8.3000000000000007</v>
      </c>
      <c r="H12" s="133">
        <v>8.6</v>
      </c>
      <c r="I12" s="133">
        <v>8.9</v>
      </c>
      <c r="J12" s="133">
        <v>9.2000000000000099</v>
      </c>
      <c r="K12" s="133">
        <v>9.5000000000000107</v>
      </c>
      <c r="L12" s="133">
        <v>9.8000000000000096</v>
      </c>
      <c r="M12" s="133">
        <v>10.1</v>
      </c>
      <c r="N12" s="133">
        <v>10.4</v>
      </c>
      <c r="O12" s="133">
        <v>10.7</v>
      </c>
      <c r="P12" s="133">
        <v>11</v>
      </c>
      <c r="Q12" s="133">
        <v>11.3</v>
      </c>
      <c r="R12" s="133">
        <v>11.6</v>
      </c>
      <c r="S12" s="133">
        <v>11.9</v>
      </c>
      <c r="T12" s="133">
        <v>12.2</v>
      </c>
      <c r="U12" s="133">
        <v>12.5</v>
      </c>
      <c r="V12" s="133">
        <v>12.8</v>
      </c>
      <c r="W12" s="133">
        <v>13.1</v>
      </c>
      <c r="X12" s="133">
        <v>13.399999999999901</v>
      </c>
      <c r="Y12" s="133">
        <v>13.6999999999999</v>
      </c>
      <c r="Z12" s="133">
        <v>14</v>
      </c>
      <c r="AA12" s="133">
        <v>14.3</v>
      </c>
      <c r="AB12" s="133">
        <v>14.6</v>
      </c>
      <c r="AC12" s="133">
        <v>14.9</v>
      </c>
      <c r="AD12" s="133">
        <v>15.2</v>
      </c>
      <c r="AE12" s="133">
        <v>15.5</v>
      </c>
      <c r="AF12" s="134">
        <v>15.8</v>
      </c>
    </row>
    <row r="13" spans="1:32" x14ac:dyDescent="0.2">
      <c r="A13" s="128" t="s">
        <v>135</v>
      </c>
      <c r="B13" s="132">
        <v>21</v>
      </c>
      <c r="C13" s="133">
        <v>21.1</v>
      </c>
      <c r="D13" s="133">
        <v>21.2</v>
      </c>
      <c r="E13" s="133">
        <v>22.1</v>
      </c>
      <c r="F13" s="133">
        <v>22.2</v>
      </c>
      <c r="G13" s="133">
        <v>22.3</v>
      </c>
      <c r="H13" s="133">
        <v>22.6</v>
      </c>
      <c r="I13" s="133">
        <v>22.9</v>
      </c>
      <c r="J13" s="133">
        <v>23.2</v>
      </c>
      <c r="K13" s="133">
        <v>23.5</v>
      </c>
      <c r="L13" s="133">
        <v>23.8</v>
      </c>
      <c r="M13" s="133">
        <v>24.1</v>
      </c>
      <c r="N13" s="133">
        <v>24.4</v>
      </c>
      <c r="O13" s="133">
        <v>24.700000000000099</v>
      </c>
      <c r="P13" s="133">
        <v>25.000000000000099</v>
      </c>
      <c r="Q13" s="133">
        <v>25.3000000000001</v>
      </c>
      <c r="R13" s="133">
        <v>25.600000000000101</v>
      </c>
      <c r="S13" s="133">
        <v>25.900000000000102</v>
      </c>
      <c r="T13" s="133">
        <v>26.200000000000099</v>
      </c>
      <c r="U13" s="133">
        <v>26.500000000000099</v>
      </c>
      <c r="V13" s="133">
        <v>26.8000000000001</v>
      </c>
      <c r="W13" s="133">
        <v>27.100000000000101</v>
      </c>
      <c r="X13" s="133">
        <v>27.400000000000102</v>
      </c>
      <c r="Y13" s="133">
        <v>27.700000000000099</v>
      </c>
      <c r="Z13" s="133">
        <v>28.000000000000099</v>
      </c>
      <c r="AA13" s="133">
        <v>28.3000000000001</v>
      </c>
      <c r="AB13" s="133">
        <v>28.600000000000101</v>
      </c>
      <c r="AC13" s="133">
        <v>28.900000000000102</v>
      </c>
      <c r="AD13" s="133">
        <v>29.200000000000099</v>
      </c>
      <c r="AE13" s="133">
        <v>29.500000000000099</v>
      </c>
      <c r="AF13" s="134"/>
    </row>
    <row r="14" spans="1:32" x14ac:dyDescent="0.2">
      <c r="A14" s="128" t="s">
        <v>136</v>
      </c>
      <c r="B14" s="132">
        <v>22</v>
      </c>
      <c r="C14" s="133">
        <v>22.1</v>
      </c>
      <c r="D14" s="133">
        <v>22.3</v>
      </c>
      <c r="E14" s="133">
        <v>23</v>
      </c>
      <c r="F14" s="133">
        <v>23</v>
      </c>
      <c r="G14" s="133">
        <v>23.3</v>
      </c>
      <c r="H14" s="133">
        <v>23.6</v>
      </c>
      <c r="I14" s="133">
        <v>23.9</v>
      </c>
      <c r="J14" s="133">
        <v>24.2</v>
      </c>
      <c r="K14" s="133">
        <v>24.5</v>
      </c>
      <c r="L14" s="133">
        <v>24.8</v>
      </c>
      <c r="M14" s="133">
        <v>25.1</v>
      </c>
      <c r="N14" s="133">
        <v>25.4</v>
      </c>
      <c r="O14" s="133">
        <v>25.700000000000099</v>
      </c>
      <c r="P14" s="133">
        <v>26.000000000000099</v>
      </c>
      <c r="Q14" s="133">
        <v>26.3000000000001</v>
      </c>
      <c r="R14" s="133">
        <v>26.600000000000101</v>
      </c>
      <c r="S14" s="133">
        <v>26.900000000000102</v>
      </c>
      <c r="T14" s="133">
        <v>27.200000000000099</v>
      </c>
      <c r="U14" s="133">
        <v>27.500000000000099</v>
      </c>
      <c r="V14" s="133">
        <v>27.8000000000001</v>
      </c>
      <c r="W14" s="133">
        <v>28.100000000000101</v>
      </c>
      <c r="X14" s="133">
        <v>28.400000000000102</v>
      </c>
      <c r="Y14" s="133">
        <v>28.700000000000099</v>
      </c>
      <c r="Z14" s="133">
        <v>29.000000000000099</v>
      </c>
      <c r="AA14" s="133">
        <v>29.3000000000001</v>
      </c>
      <c r="AB14" s="133">
        <v>29.600000000000101</v>
      </c>
      <c r="AC14" s="133">
        <v>29.900000000000102</v>
      </c>
      <c r="AD14" s="133">
        <v>30.200000000000099</v>
      </c>
      <c r="AE14" s="133">
        <v>30.500000000000099</v>
      </c>
      <c r="AF14" s="134">
        <v>30.8000000000001</v>
      </c>
    </row>
    <row r="15" spans="1:32" x14ac:dyDescent="0.2">
      <c r="A15" s="128" t="s">
        <v>137</v>
      </c>
      <c r="B15" s="132">
        <v>23</v>
      </c>
      <c r="C15" s="133">
        <v>23.1</v>
      </c>
      <c r="D15" s="133">
        <v>23.2</v>
      </c>
      <c r="E15" s="133">
        <v>24</v>
      </c>
      <c r="F15" s="133">
        <v>24</v>
      </c>
      <c r="G15" s="133">
        <v>24.3</v>
      </c>
      <c r="H15" s="133">
        <v>24.6</v>
      </c>
      <c r="I15" s="133">
        <v>24.9</v>
      </c>
      <c r="J15" s="133">
        <v>25.2</v>
      </c>
      <c r="K15" s="133">
        <v>25.5</v>
      </c>
      <c r="L15" s="133">
        <v>25.8</v>
      </c>
      <c r="M15" s="133">
        <v>26.1</v>
      </c>
      <c r="N15" s="133">
        <v>26.4</v>
      </c>
      <c r="O15" s="133">
        <v>26.700000000000099</v>
      </c>
      <c r="P15" s="133">
        <v>27.000000000000099</v>
      </c>
      <c r="Q15" s="133">
        <v>27.3000000000001</v>
      </c>
      <c r="R15" s="133">
        <v>27.600000000000101</v>
      </c>
      <c r="S15" s="133">
        <v>27.900000000000102</v>
      </c>
      <c r="T15" s="133">
        <v>28.200000000000099</v>
      </c>
      <c r="U15" s="133">
        <v>28.500000000000099</v>
      </c>
      <c r="V15" s="133">
        <v>28.8000000000001</v>
      </c>
      <c r="W15" s="133">
        <v>29.100000000000101</v>
      </c>
      <c r="X15" s="133">
        <v>29.400000000000102</v>
      </c>
      <c r="Y15" s="133">
        <v>29.700000000000099</v>
      </c>
      <c r="Z15" s="133">
        <v>30.000000000000099</v>
      </c>
      <c r="AA15" s="133">
        <v>30.3000000000001</v>
      </c>
      <c r="AB15" s="133">
        <v>30.600000000000101</v>
      </c>
      <c r="AC15" s="133">
        <v>30.900000000000102</v>
      </c>
      <c r="AD15" s="133">
        <v>31.200000000000099</v>
      </c>
      <c r="AE15" s="133">
        <v>31.500000000000099</v>
      </c>
      <c r="AF15" s="134">
        <v>31.8000000000001</v>
      </c>
    </row>
    <row r="16" spans="1:32" x14ac:dyDescent="0.2">
      <c r="A16" s="128" t="s">
        <v>138</v>
      </c>
      <c r="B16" s="132">
        <v>11</v>
      </c>
      <c r="C16" s="133">
        <v>11.1</v>
      </c>
      <c r="D16" s="133">
        <v>11.2</v>
      </c>
      <c r="E16" s="133">
        <v>12</v>
      </c>
      <c r="F16" s="133">
        <v>12</v>
      </c>
      <c r="G16" s="133">
        <v>12.3</v>
      </c>
      <c r="H16" s="133">
        <v>12.6</v>
      </c>
      <c r="I16" s="133">
        <v>12.9</v>
      </c>
      <c r="J16" s="133">
        <v>13.2</v>
      </c>
      <c r="K16" s="133">
        <v>13.5</v>
      </c>
      <c r="L16" s="133">
        <v>13.8</v>
      </c>
      <c r="M16" s="133">
        <v>14.1</v>
      </c>
      <c r="N16" s="133">
        <v>14.4</v>
      </c>
      <c r="O16" s="133">
        <v>14.7</v>
      </c>
      <c r="P16" s="133">
        <v>15</v>
      </c>
      <c r="Q16" s="133">
        <v>15.3</v>
      </c>
      <c r="R16" s="133">
        <v>15.6</v>
      </c>
      <c r="S16" s="133">
        <v>15.9</v>
      </c>
      <c r="T16" s="133">
        <v>16.2</v>
      </c>
      <c r="U16" s="133">
        <v>16.5</v>
      </c>
      <c r="V16" s="133">
        <v>16.8</v>
      </c>
      <c r="W16" s="133">
        <v>17.099999999999898</v>
      </c>
      <c r="X16" s="133">
        <v>17.399999999999899</v>
      </c>
      <c r="Y16" s="133">
        <v>17.6999999999999</v>
      </c>
      <c r="Z16" s="133">
        <v>18</v>
      </c>
      <c r="AA16" s="133">
        <v>18.3</v>
      </c>
      <c r="AB16" s="133">
        <v>18.600000000000001</v>
      </c>
      <c r="AC16" s="133">
        <v>18.899999999999999</v>
      </c>
      <c r="AD16" s="133">
        <v>19.2</v>
      </c>
      <c r="AE16" s="133">
        <v>19.5</v>
      </c>
      <c r="AF16" s="134"/>
    </row>
    <row r="17" spans="1:32" x14ac:dyDescent="0.2">
      <c r="A17" s="128" t="s">
        <v>139</v>
      </c>
      <c r="B17" s="132">
        <v>12</v>
      </c>
      <c r="C17" s="133">
        <v>12.1</v>
      </c>
      <c r="D17" s="133">
        <v>12.3</v>
      </c>
      <c r="E17" s="133">
        <v>13</v>
      </c>
      <c r="F17" s="133">
        <v>13</v>
      </c>
      <c r="G17" s="133">
        <v>13.3</v>
      </c>
      <c r="H17" s="133">
        <v>13.6</v>
      </c>
      <c r="I17" s="133">
        <v>13.9</v>
      </c>
      <c r="J17" s="133">
        <v>14.2</v>
      </c>
      <c r="K17" s="133">
        <v>14.5</v>
      </c>
      <c r="L17" s="133">
        <v>14.8</v>
      </c>
      <c r="M17" s="133">
        <v>15.1</v>
      </c>
      <c r="N17" s="133">
        <v>15.4</v>
      </c>
      <c r="O17" s="133">
        <v>15.7</v>
      </c>
      <c r="P17" s="133">
        <v>16</v>
      </c>
      <c r="Q17" s="133">
        <v>16.3</v>
      </c>
      <c r="R17" s="133">
        <v>16.600000000000001</v>
      </c>
      <c r="S17" s="133">
        <v>16.899999999999999</v>
      </c>
      <c r="T17" s="133">
        <v>17.2</v>
      </c>
      <c r="U17" s="133">
        <v>17.5</v>
      </c>
      <c r="V17" s="133">
        <v>17.8</v>
      </c>
      <c r="W17" s="133">
        <v>18.099999999999898</v>
      </c>
      <c r="X17" s="133">
        <v>18.3999999999998</v>
      </c>
      <c r="Y17" s="133">
        <v>18.6999999999998</v>
      </c>
      <c r="Z17" s="133">
        <v>19</v>
      </c>
      <c r="AA17" s="133">
        <v>19.3</v>
      </c>
      <c r="AB17" s="133">
        <v>19.600000000000001</v>
      </c>
      <c r="AC17" s="133">
        <v>19.899999999999999</v>
      </c>
      <c r="AD17" s="133">
        <v>20.2</v>
      </c>
      <c r="AE17" s="133">
        <v>20.5</v>
      </c>
      <c r="AF17" s="134">
        <v>20.8</v>
      </c>
    </row>
    <row r="18" spans="1:32" x14ac:dyDescent="0.2">
      <c r="A18" s="128" t="s">
        <v>140</v>
      </c>
      <c r="B18" s="132">
        <v>8</v>
      </c>
      <c r="C18" s="133">
        <v>8.1</v>
      </c>
      <c r="D18" s="133">
        <v>8.1999999999999993</v>
      </c>
      <c r="E18" s="133">
        <v>9</v>
      </c>
      <c r="F18" s="133">
        <v>9.1999999999999993</v>
      </c>
      <c r="G18" s="133">
        <v>9.3000000000000007</v>
      </c>
      <c r="H18" s="133">
        <v>9.6</v>
      </c>
      <c r="I18" s="133">
        <v>9.9</v>
      </c>
      <c r="J18" s="133">
        <v>10.199999999999999</v>
      </c>
      <c r="K18" s="133">
        <v>10.5</v>
      </c>
      <c r="L18" s="133">
        <v>10.8</v>
      </c>
      <c r="M18" s="133">
        <v>11.1</v>
      </c>
      <c r="N18" s="133">
        <v>11.4</v>
      </c>
      <c r="O18" s="133">
        <v>11.7</v>
      </c>
      <c r="P18" s="133">
        <v>12</v>
      </c>
      <c r="Q18" s="133">
        <v>12.3</v>
      </c>
      <c r="R18" s="133">
        <v>12.6</v>
      </c>
      <c r="S18" s="133">
        <v>12.9</v>
      </c>
      <c r="T18" s="133">
        <v>13.2</v>
      </c>
      <c r="U18" s="133">
        <v>13.5</v>
      </c>
      <c r="V18" s="133">
        <v>13.8</v>
      </c>
      <c r="W18" s="133">
        <v>14.1</v>
      </c>
      <c r="X18" s="133">
        <v>14.4</v>
      </c>
      <c r="Y18" s="133">
        <v>14.7</v>
      </c>
      <c r="Z18" s="133">
        <v>15</v>
      </c>
      <c r="AA18" s="133">
        <v>15.3</v>
      </c>
      <c r="AB18" s="133">
        <v>15.6</v>
      </c>
      <c r="AC18" s="133">
        <v>15.9</v>
      </c>
      <c r="AD18" s="133">
        <v>16.2</v>
      </c>
      <c r="AE18" s="133">
        <v>16.5</v>
      </c>
      <c r="AF18" s="134"/>
    </row>
    <row r="19" spans="1:32" ht="12" thickBot="1" x14ac:dyDescent="0.25">
      <c r="A19" s="128" t="s">
        <v>141</v>
      </c>
      <c r="B19" s="135">
        <v>2</v>
      </c>
      <c r="C19" s="136">
        <v>2</v>
      </c>
      <c r="D19" s="136">
        <v>2</v>
      </c>
      <c r="E19" s="136">
        <v>3</v>
      </c>
      <c r="F19" s="136">
        <v>3</v>
      </c>
      <c r="G19" s="136">
        <v>3.3</v>
      </c>
      <c r="H19" s="136">
        <v>3.6</v>
      </c>
      <c r="I19" s="136">
        <v>3.9</v>
      </c>
      <c r="J19" s="136">
        <v>4.2000000000000099</v>
      </c>
      <c r="K19" s="136">
        <v>4.5000000000000098</v>
      </c>
      <c r="L19" s="136">
        <v>4.8000000000000096</v>
      </c>
      <c r="M19" s="136">
        <v>5.1000000000000103</v>
      </c>
      <c r="N19" s="136">
        <v>5.4000000000000101</v>
      </c>
      <c r="O19" s="136">
        <v>5.7000000000000099</v>
      </c>
      <c r="P19" s="136">
        <v>6.0000000000000098</v>
      </c>
      <c r="Q19" s="136">
        <v>6.3000000000000096</v>
      </c>
      <c r="R19" s="136">
        <v>6.6000000000000103</v>
      </c>
      <c r="S19" s="136">
        <v>6.9000000000000101</v>
      </c>
      <c r="T19" s="136">
        <v>7.2000000000000099</v>
      </c>
      <c r="U19" s="136">
        <v>7.5000000000000098</v>
      </c>
      <c r="V19" s="136">
        <v>7.8000000000000096</v>
      </c>
      <c r="W19" s="136">
        <v>8.1000000000000103</v>
      </c>
      <c r="X19" s="136">
        <v>8.4000000000000199</v>
      </c>
      <c r="Y19" s="136">
        <v>8.7000000000000206</v>
      </c>
      <c r="Z19" s="136">
        <v>9.0000000000000195</v>
      </c>
      <c r="AA19" s="136">
        <v>9.3000000000000203</v>
      </c>
      <c r="AB19" s="136">
        <v>9.6000000000000192</v>
      </c>
      <c r="AC19" s="136">
        <v>9.9000000000000199</v>
      </c>
      <c r="AD19" s="136">
        <v>10.199999999999999</v>
      </c>
      <c r="AE19" s="136">
        <v>10.5</v>
      </c>
      <c r="AF19" s="137">
        <v>10.8</v>
      </c>
    </row>
    <row r="22" spans="1:32" x14ac:dyDescent="0.2">
      <c r="B22" s="148"/>
      <c r="C22" s="149"/>
      <c r="D22" s="149"/>
      <c r="E22" s="148"/>
      <c r="F22" s="149"/>
      <c r="G22" s="149"/>
    </row>
    <row r="23" spans="1:32" x14ac:dyDescent="0.2">
      <c r="C23" s="147"/>
      <c r="D23" s="147"/>
    </row>
    <row r="24" spans="1:32" x14ac:dyDescent="0.2">
      <c r="C24" s="147"/>
      <c r="D24" s="147"/>
    </row>
    <row r="25" spans="1:32" x14ac:dyDescent="0.2">
      <c r="C25" s="147"/>
      <c r="D25" s="147"/>
    </row>
    <row r="26" spans="1:32" x14ac:dyDescent="0.2">
      <c r="C26" s="147"/>
      <c r="D26" s="147"/>
    </row>
    <row r="27" spans="1:32" x14ac:dyDescent="0.2">
      <c r="C27" s="147"/>
      <c r="D27" s="147"/>
    </row>
    <row r="28" spans="1:32" x14ac:dyDescent="0.2">
      <c r="C28" s="147"/>
      <c r="D28" s="147"/>
    </row>
    <row r="29" spans="1:32" x14ac:dyDescent="0.2">
      <c r="C29" s="147"/>
      <c r="D29" s="147"/>
    </row>
    <row r="30" spans="1:32" x14ac:dyDescent="0.2">
      <c r="C30" s="147"/>
      <c r="D30" s="147"/>
    </row>
    <row r="31" spans="1:32" x14ac:dyDescent="0.2">
      <c r="C31" s="147"/>
      <c r="D31" s="147"/>
    </row>
    <row r="32" spans="1:32" x14ac:dyDescent="0.2">
      <c r="C32" s="147"/>
      <c r="D32" s="147"/>
    </row>
    <row r="33" spans="3:4" x14ac:dyDescent="0.2">
      <c r="C33" s="147"/>
      <c r="D33" s="147"/>
    </row>
    <row r="34" spans="3:4" x14ac:dyDescent="0.2">
      <c r="C34" s="147"/>
      <c r="D34" s="147"/>
    </row>
    <row r="35" spans="3:4" x14ac:dyDescent="0.2">
      <c r="C35" s="147"/>
      <c r="D35" s="147"/>
    </row>
  </sheetData>
  <phoneticPr fontId="20" type="noConversion"/>
  <conditionalFormatting sqref="B8:AF19">
    <cfRule type="expression" dxfId="21" priority="1" stopIfTrue="1">
      <formula>AND($B$4=B8,ROW(B8)-7=$B$1,COLUMN(B8)-1=$B$2)</formula>
    </cfRule>
  </conditionalFormatting>
  <dataValidations count="2">
    <dataValidation type="list" allowBlank="1" showInputMessage="1" showErrorMessage="1" sqref="B2">
      <formula1>$B$7:$AF$7</formula1>
    </dataValidation>
    <dataValidation type="list" allowBlank="1" showInputMessage="1" showErrorMessage="1" sqref="B1">
      <formula1>"1,2,3,4,5,6,7,8,9,10,11,12"</formula1>
    </dataValidation>
  </dataValidations>
  <hyperlinks>
    <hyperlink ref="AC2" location="Obsah!A1" display="Obsah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B1:S47"/>
  <sheetViews>
    <sheetView showGridLines="0" workbookViewId="0">
      <selection activeCell="M35" sqref="M35"/>
    </sheetView>
  </sheetViews>
  <sheetFormatPr defaultColWidth="12.5546875" defaultRowHeight="11.4" x14ac:dyDescent="0.2"/>
  <cols>
    <col min="1" max="1" width="5.109375" style="226" customWidth="1"/>
    <col min="2" max="2" width="9.44140625" style="226" customWidth="1"/>
    <col min="3" max="3" width="10" style="226" bestFit="1" customWidth="1"/>
    <col min="4" max="4" width="4.5546875" style="226" bestFit="1" customWidth="1"/>
    <col min="5" max="13" width="6.109375" style="226" bestFit="1" customWidth="1"/>
    <col min="14" max="14" width="4.88671875" style="226" bestFit="1" customWidth="1"/>
    <col min="15" max="15" width="8.109375" style="226" customWidth="1"/>
    <col min="16" max="16" width="18.44140625" style="226" bestFit="1" customWidth="1"/>
    <col min="17" max="17" width="26.33203125" style="226" bestFit="1" customWidth="1"/>
    <col min="18" max="16384" width="12.5546875" style="226"/>
  </cols>
  <sheetData>
    <row r="1" spans="2:7" ht="12.6" x14ac:dyDescent="0.2">
      <c r="B1" s="226" t="s">
        <v>144</v>
      </c>
      <c r="C1" s="227">
        <v>1000</v>
      </c>
      <c r="F1" s="196"/>
      <c r="G1" s="196"/>
    </row>
    <row r="2" spans="2:7" x14ac:dyDescent="0.2">
      <c r="B2" s="226" t="s">
        <v>145</v>
      </c>
      <c r="C2" s="227">
        <v>1250</v>
      </c>
    </row>
    <row r="5" spans="2:7" x14ac:dyDescent="0.2">
      <c r="B5" s="226" t="s">
        <v>146</v>
      </c>
      <c r="C5" s="228">
        <f>MATCH(C1,SIRKA,1)</f>
        <v>3</v>
      </c>
      <c r="E5" s="229"/>
    </row>
    <row r="6" spans="2:7" x14ac:dyDescent="0.2">
      <c r="B6" s="226" t="s">
        <v>147</v>
      </c>
      <c r="C6" s="228">
        <f>MATCH(C2,DELKA,1)</f>
        <v>4</v>
      </c>
      <c r="E6" s="229"/>
    </row>
    <row r="7" spans="2:7" ht="13.8" x14ac:dyDescent="0.25">
      <c r="B7" s="226" t="s">
        <v>82</v>
      </c>
      <c r="C7" s="197">
        <f>INDEX(CENA,C5,C6)</f>
        <v>15</v>
      </c>
      <c r="E7" s="229"/>
    </row>
    <row r="8" spans="2:7" ht="12.6" x14ac:dyDescent="0.2">
      <c r="C8" s="196"/>
      <c r="E8" s="229"/>
    </row>
    <row r="9" spans="2:7" ht="12.6" x14ac:dyDescent="0.2">
      <c r="C9" s="196"/>
      <c r="E9" s="229"/>
    </row>
    <row r="10" spans="2:7" ht="12.6" x14ac:dyDescent="0.2">
      <c r="C10" s="196"/>
      <c r="E10" s="229"/>
    </row>
    <row r="11" spans="2:7" ht="12.6" x14ac:dyDescent="0.2">
      <c r="C11" s="196"/>
      <c r="E11" s="229"/>
    </row>
    <row r="12" spans="2:7" ht="12.6" x14ac:dyDescent="0.2">
      <c r="C12" s="196"/>
      <c r="E12" s="229"/>
    </row>
    <row r="13" spans="2:7" ht="12.6" x14ac:dyDescent="0.2">
      <c r="C13" s="196"/>
      <c r="E13" s="229"/>
    </row>
    <row r="14" spans="2:7" ht="12.6" x14ac:dyDescent="0.2">
      <c r="C14" s="196"/>
      <c r="E14" s="229"/>
    </row>
    <row r="20" spans="2:18" ht="14.25" customHeight="1" x14ac:dyDescent="0.2">
      <c r="C20" s="230" t="s">
        <v>143</v>
      </c>
      <c r="D20" s="260"/>
    </row>
    <row r="21" spans="2:18" ht="13.5" customHeight="1" x14ac:dyDescent="0.2">
      <c r="B21" s="231" t="s">
        <v>142</v>
      </c>
      <c r="C21" s="232">
        <v>0</v>
      </c>
      <c r="D21" s="232">
        <v>800</v>
      </c>
      <c r="E21" s="233">
        <v>1000</v>
      </c>
      <c r="F21" s="233">
        <v>1200</v>
      </c>
      <c r="G21" s="233">
        <v>1400</v>
      </c>
      <c r="H21" s="233">
        <v>1600</v>
      </c>
      <c r="I21" s="233">
        <v>1800</v>
      </c>
      <c r="J21" s="233">
        <v>2000</v>
      </c>
      <c r="K21" s="233">
        <v>2200</v>
      </c>
      <c r="L21" s="233">
        <v>2400</v>
      </c>
      <c r="M21" s="233">
        <v>2600</v>
      </c>
      <c r="O21" s="234" t="s">
        <v>148</v>
      </c>
    </row>
    <row r="22" spans="2:18" x14ac:dyDescent="0.2">
      <c r="B22" s="232">
        <v>0</v>
      </c>
      <c r="C22" s="235">
        <v>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O22" s="198"/>
      <c r="P22" s="198"/>
      <c r="R22" s="199"/>
    </row>
    <row r="23" spans="2:18" x14ac:dyDescent="0.2">
      <c r="B23" s="232">
        <v>700</v>
      </c>
      <c r="C23" s="235">
        <v>0</v>
      </c>
      <c r="D23" s="235">
        <v>5</v>
      </c>
      <c r="E23" s="235">
        <v>8</v>
      </c>
      <c r="F23" s="235">
        <v>11</v>
      </c>
      <c r="G23" s="235">
        <v>14</v>
      </c>
      <c r="H23" s="235">
        <v>17</v>
      </c>
      <c r="I23" s="235">
        <v>20</v>
      </c>
      <c r="J23" s="235">
        <v>23</v>
      </c>
      <c r="K23" s="235">
        <v>26</v>
      </c>
      <c r="L23" s="235">
        <v>29</v>
      </c>
      <c r="M23" s="235">
        <v>32</v>
      </c>
      <c r="O23" s="236" t="s">
        <v>154</v>
      </c>
      <c r="P23" s="236" t="s">
        <v>153</v>
      </c>
      <c r="R23" s="199"/>
    </row>
    <row r="24" spans="2:18" x14ac:dyDescent="0.2">
      <c r="B24" s="232">
        <v>900</v>
      </c>
      <c r="C24" s="235">
        <v>0</v>
      </c>
      <c r="D24" s="235">
        <v>7</v>
      </c>
      <c r="E24" s="235">
        <v>11</v>
      </c>
      <c r="F24" s="235">
        <v>15</v>
      </c>
      <c r="G24" s="235">
        <v>19</v>
      </c>
      <c r="H24" s="235">
        <v>23</v>
      </c>
      <c r="I24" s="235">
        <v>27</v>
      </c>
      <c r="J24" s="235">
        <v>31</v>
      </c>
      <c r="K24" s="235">
        <v>35</v>
      </c>
      <c r="L24" s="235">
        <v>39</v>
      </c>
      <c r="M24" s="235">
        <v>43</v>
      </c>
      <c r="O24" s="236" t="s">
        <v>151</v>
      </c>
      <c r="P24" s="236" t="s">
        <v>152</v>
      </c>
      <c r="R24" s="199"/>
    </row>
    <row r="25" spans="2:18" x14ac:dyDescent="0.2">
      <c r="B25" s="233">
        <v>1100</v>
      </c>
      <c r="C25" s="235">
        <v>0</v>
      </c>
      <c r="D25" s="235">
        <v>9</v>
      </c>
      <c r="E25" s="235">
        <v>14</v>
      </c>
      <c r="F25" s="235">
        <v>19</v>
      </c>
      <c r="G25" s="235">
        <v>24</v>
      </c>
      <c r="H25" s="235">
        <v>29</v>
      </c>
      <c r="I25" s="235">
        <v>34</v>
      </c>
      <c r="J25" s="235">
        <v>39</v>
      </c>
      <c r="K25" s="235">
        <v>44</v>
      </c>
      <c r="L25" s="235">
        <v>49</v>
      </c>
      <c r="M25" s="235">
        <v>54</v>
      </c>
      <c r="O25" s="236" t="s">
        <v>149</v>
      </c>
      <c r="P25" s="198" t="s">
        <v>150</v>
      </c>
    </row>
    <row r="26" spans="2:18" x14ac:dyDescent="0.2">
      <c r="B26" s="233">
        <v>1300</v>
      </c>
      <c r="C26" s="235">
        <v>0</v>
      </c>
      <c r="D26" s="235">
        <v>11</v>
      </c>
      <c r="E26" s="235">
        <v>17</v>
      </c>
      <c r="F26" s="235">
        <v>23</v>
      </c>
      <c r="G26" s="235">
        <v>29</v>
      </c>
      <c r="H26" s="235">
        <v>35</v>
      </c>
      <c r="I26" s="235">
        <v>41</v>
      </c>
      <c r="J26" s="235">
        <v>47</v>
      </c>
      <c r="K26" s="235">
        <v>53</v>
      </c>
      <c r="L26" s="235">
        <v>59</v>
      </c>
      <c r="M26" s="235">
        <v>65</v>
      </c>
      <c r="O26" s="236"/>
      <c r="P26" s="236"/>
    </row>
    <row r="27" spans="2:18" x14ac:dyDescent="0.2">
      <c r="B27" s="233">
        <v>1500</v>
      </c>
      <c r="C27" s="235">
        <v>0</v>
      </c>
      <c r="D27" s="235">
        <v>13</v>
      </c>
      <c r="E27" s="235">
        <v>20</v>
      </c>
      <c r="F27" s="235">
        <v>27</v>
      </c>
      <c r="G27" s="235">
        <v>34</v>
      </c>
      <c r="H27" s="235">
        <v>41</v>
      </c>
      <c r="I27" s="235">
        <v>48</v>
      </c>
      <c r="J27" s="235">
        <v>55</v>
      </c>
      <c r="K27" s="235">
        <v>62</v>
      </c>
      <c r="L27" s="235">
        <v>69</v>
      </c>
      <c r="M27" s="235">
        <v>76</v>
      </c>
    </row>
    <row r="28" spans="2:18" x14ac:dyDescent="0.2">
      <c r="B28" s="233">
        <v>1700</v>
      </c>
      <c r="C28" s="235">
        <v>0</v>
      </c>
      <c r="D28" s="235">
        <v>15</v>
      </c>
      <c r="E28" s="235">
        <v>23</v>
      </c>
      <c r="F28" s="235">
        <v>31</v>
      </c>
      <c r="G28" s="235">
        <v>39</v>
      </c>
      <c r="H28" s="235">
        <v>47</v>
      </c>
      <c r="I28" s="235">
        <v>55</v>
      </c>
      <c r="J28" s="235">
        <v>63</v>
      </c>
      <c r="K28" s="235">
        <v>71</v>
      </c>
      <c r="L28" s="235">
        <v>79</v>
      </c>
      <c r="M28" s="235">
        <v>87</v>
      </c>
    </row>
    <row r="29" spans="2:18" x14ac:dyDescent="0.2">
      <c r="B29" s="233">
        <v>1900</v>
      </c>
      <c r="C29" s="235">
        <v>0</v>
      </c>
      <c r="D29" s="235">
        <v>17</v>
      </c>
      <c r="E29" s="235">
        <v>26</v>
      </c>
      <c r="F29" s="235">
        <v>35</v>
      </c>
      <c r="G29" s="235">
        <v>44</v>
      </c>
      <c r="H29" s="235">
        <v>53</v>
      </c>
      <c r="I29" s="235">
        <v>62</v>
      </c>
      <c r="J29" s="235">
        <v>71</v>
      </c>
      <c r="K29" s="235">
        <v>80</v>
      </c>
      <c r="L29" s="235">
        <v>89</v>
      </c>
      <c r="M29" s="235">
        <v>98</v>
      </c>
      <c r="O29" s="50" t="s">
        <v>246</v>
      </c>
    </row>
    <row r="30" spans="2:18" x14ac:dyDescent="0.2">
      <c r="B30" s="233">
        <v>2100</v>
      </c>
      <c r="C30" s="235">
        <v>0</v>
      </c>
      <c r="D30" s="235">
        <v>19</v>
      </c>
      <c r="E30" s="235">
        <v>29</v>
      </c>
      <c r="F30" s="235">
        <v>39</v>
      </c>
      <c r="G30" s="235">
        <v>49</v>
      </c>
      <c r="H30" s="235">
        <v>59</v>
      </c>
      <c r="I30" s="235">
        <v>69</v>
      </c>
      <c r="J30" s="235">
        <v>79</v>
      </c>
      <c r="K30" s="235">
        <v>89</v>
      </c>
      <c r="L30" s="235">
        <v>99</v>
      </c>
      <c r="M30" s="235">
        <v>109</v>
      </c>
      <c r="P30" s="236"/>
      <c r="Q30" s="236"/>
    </row>
    <row r="31" spans="2:18" x14ac:dyDescent="0.2">
      <c r="P31" s="236"/>
      <c r="Q31" s="236"/>
    </row>
    <row r="32" spans="2:18" x14ac:dyDescent="0.2">
      <c r="P32" s="236"/>
      <c r="Q32" s="236"/>
    </row>
    <row r="33" spans="16:19" x14ac:dyDescent="0.2">
      <c r="P33" s="236"/>
      <c r="Q33" s="236"/>
    </row>
    <row r="34" spans="16:19" x14ac:dyDescent="0.2">
      <c r="P34" s="236"/>
      <c r="Q34" s="236"/>
    </row>
    <row r="35" spans="16:19" x14ac:dyDescent="0.2">
      <c r="P35" s="236"/>
      <c r="Q35" s="236"/>
    </row>
    <row r="36" spans="16:19" x14ac:dyDescent="0.2">
      <c r="P36" s="236"/>
      <c r="Q36" s="236"/>
    </row>
    <row r="37" spans="16:19" x14ac:dyDescent="0.2">
      <c r="P37" s="236"/>
      <c r="Q37" s="236"/>
    </row>
    <row r="38" spans="16:19" x14ac:dyDescent="0.2">
      <c r="P38" s="236"/>
      <c r="Q38" s="236"/>
      <c r="S38" s="118"/>
    </row>
    <row r="39" spans="16:19" x14ac:dyDescent="0.2">
      <c r="P39" s="236"/>
      <c r="Q39" s="236"/>
    </row>
    <row r="41" spans="16:19" x14ac:dyDescent="0.2">
      <c r="P41" s="236"/>
      <c r="Q41" s="236"/>
    </row>
    <row r="42" spans="16:19" x14ac:dyDescent="0.2">
      <c r="P42" s="236"/>
      <c r="Q42" s="236"/>
    </row>
    <row r="43" spans="16:19" x14ac:dyDescent="0.2">
      <c r="P43" s="236"/>
      <c r="Q43" s="236"/>
    </row>
    <row r="44" spans="16:19" x14ac:dyDescent="0.2">
      <c r="P44" s="236"/>
      <c r="Q44" s="236"/>
    </row>
    <row r="45" spans="16:19" x14ac:dyDescent="0.2">
      <c r="P45" s="236"/>
      <c r="Q45" s="236"/>
    </row>
    <row r="46" spans="16:19" x14ac:dyDescent="0.2">
      <c r="P46" s="236"/>
      <c r="Q46" s="236"/>
    </row>
    <row r="47" spans="16:19" x14ac:dyDescent="0.2">
      <c r="P47" s="236"/>
      <c r="Q47" s="236"/>
    </row>
  </sheetData>
  <phoneticPr fontId="14" type="noConversion"/>
  <conditionalFormatting sqref="B21">
    <cfRule type="expression" dxfId="20" priority="1" stopIfTrue="1">
      <formula>B$21=HLOOKUP($C$2,$C$21:$M$21,1)</formula>
    </cfRule>
  </conditionalFormatting>
  <conditionalFormatting sqref="C22:M30">
    <cfRule type="expression" dxfId="19" priority="2" stopIfTrue="1">
      <formula>$B22=INDEX(HAUTEUR,MATCH($C$1,HAUTEUR,1))</formula>
    </cfRule>
    <cfRule type="expression" dxfId="18" priority="3" stopIfTrue="1">
      <formula>C$21=INDEX(longueur,MATCH($C$2,longueur,1))</formula>
    </cfRule>
  </conditionalFormatting>
  <conditionalFormatting sqref="B22:B30">
    <cfRule type="expression" dxfId="17" priority="4" stopIfTrue="1">
      <formula>$B22=INDEX(HAUTEUR,MATCH($C$1,HAUTEUR,1))</formula>
    </cfRule>
  </conditionalFormatting>
  <conditionalFormatting sqref="C21:M21">
    <cfRule type="expression" dxfId="16" priority="5" stopIfTrue="1">
      <formula>C$21=INDEX(longueur,MATCH($C$2,longueur,1))</formula>
    </cfRule>
  </conditionalFormatting>
  <hyperlinks>
    <hyperlink ref="O29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2:L31"/>
  <sheetViews>
    <sheetView showGridLines="0" workbookViewId="0"/>
  </sheetViews>
  <sheetFormatPr defaultColWidth="11.44140625" defaultRowHeight="13.2" x14ac:dyDescent="0.25"/>
  <cols>
    <col min="1" max="1" width="12.5546875" style="1" customWidth="1"/>
    <col min="2" max="2" width="18.44140625" customWidth="1"/>
    <col min="3" max="3" width="15.33203125" bestFit="1" customWidth="1"/>
    <col min="4" max="4" width="9" customWidth="1"/>
    <col min="5" max="5" width="8.44140625" customWidth="1"/>
    <col min="6" max="6" width="5.44140625" style="1" customWidth="1"/>
    <col min="7" max="7" width="14.44140625" style="1" customWidth="1"/>
    <col min="8" max="8" width="7.109375" style="1" customWidth="1"/>
    <col min="9" max="16384" width="11.44140625" style="1"/>
  </cols>
  <sheetData>
    <row r="2" spans="1:12" x14ac:dyDescent="0.25">
      <c r="A2"/>
      <c r="K2" s="50"/>
      <c r="L2" s="73"/>
    </row>
    <row r="3" spans="1:12" x14ac:dyDescent="0.25">
      <c r="A3"/>
    </row>
    <row r="9" spans="1:12" x14ac:dyDescent="0.25">
      <c r="A9" s="30" t="s">
        <v>167</v>
      </c>
      <c r="B9" s="8" t="s">
        <v>155</v>
      </c>
      <c r="C9" s="8" t="s">
        <v>224</v>
      </c>
      <c r="D9" s="8" t="s">
        <v>14</v>
      </c>
      <c r="G9" s="7" t="s">
        <v>224</v>
      </c>
      <c r="H9" s="7" t="s">
        <v>14</v>
      </c>
    </row>
    <row r="10" spans="1:12" customFormat="1" x14ac:dyDescent="0.25">
      <c r="A10" s="2" t="s">
        <v>166</v>
      </c>
      <c r="B10" s="4">
        <v>39340</v>
      </c>
      <c r="C10" s="3" t="s">
        <v>10</v>
      </c>
      <c r="D10" s="5">
        <f t="shared" ref="D10:D19" si="0">VLOOKUP(C10,$G$10:$H$13,2,FALSE)</f>
        <v>30</v>
      </c>
      <c r="F10" s="1"/>
      <c r="G10" s="29" t="s">
        <v>11</v>
      </c>
      <c r="H10" s="2">
        <v>20</v>
      </c>
      <c r="I10" s="1"/>
    </row>
    <row r="11" spans="1:12" customFormat="1" x14ac:dyDescent="0.25">
      <c r="A11" s="2" t="s">
        <v>157</v>
      </c>
      <c r="B11" s="4">
        <v>39645</v>
      </c>
      <c r="C11" s="3" t="s">
        <v>11</v>
      </c>
      <c r="D11" s="5">
        <f t="shared" si="0"/>
        <v>20</v>
      </c>
      <c r="G11" s="29" t="s">
        <v>10</v>
      </c>
      <c r="H11" s="2">
        <v>30</v>
      </c>
      <c r="I11" s="1"/>
    </row>
    <row r="12" spans="1:12" customFormat="1" x14ac:dyDescent="0.25">
      <c r="A12" s="2" t="s">
        <v>158</v>
      </c>
      <c r="B12" s="4">
        <v>39645</v>
      </c>
      <c r="C12" s="3" t="s">
        <v>12</v>
      </c>
      <c r="D12" s="5">
        <f t="shared" si="0"/>
        <v>35</v>
      </c>
      <c r="G12" s="29" t="s">
        <v>12</v>
      </c>
      <c r="H12" s="2">
        <v>35</v>
      </c>
    </row>
    <row r="13" spans="1:12" customFormat="1" x14ac:dyDescent="0.25">
      <c r="A13" s="2" t="s">
        <v>159</v>
      </c>
      <c r="B13" s="4">
        <v>39645</v>
      </c>
      <c r="C13" s="3" t="s">
        <v>11</v>
      </c>
      <c r="D13" s="5">
        <f t="shared" si="0"/>
        <v>20</v>
      </c>
      <c r="G13" s="29" t="s">
        <v>13</v>
      </c>
      <c r="H13" s="2">
        <v>40</v>
      </c>
    </row>
    <row r="14" spans="1:12" customFormat="1" x14ac:dyDescent="0.25">
      <c r="A14" s="2" t="s">
        <v>160</v>
      </c>
      <c r="B14" s="4">
        <v>39406</v>
      </c>
      <c r="C14" s="3" t="s">
        <v>10</v>
      </c>
      <c r="D14" s="5">
        <f t="shared" si="0"/>
        <v>30</v>
      </c>
    </row>
    <row r="15" spans="1:12" customFormat="1" x14ac:dyDescent="0.25">
      <c r="A15" s="2" t="s">
        <v>161</v>
      </c>
      <c r="B15" s="4">
        <v>39370</v>
      </c>
      <c r="C15" s="3" t="s">
        <v>12</v>
      </c>
      <c r="D15" s="5">
        <f t="shared" si="0"/>
        <v>35</v>
      </c>
    </row>
    <row r="16" spans="1:12" customFormat="1" x14ac:dyDescent="0.25">
      <c r="A16" s="2" t="s">
        <v>162</v>
      </c>
      <c r="B16" s="4">
        <v>39370</v>
      </c>
      <c r="C16" s="3" t="s">
        <v>11</v>
      </c>
      <c r="D16" s="5">
        <f t="shared" si="0"/>
        <v>20</v>
      </c>
    </row>
    <row r="17" spans="1:9" x14ac:dyDescent="0.25">
      <c r="A17" s="2" t="s">
        <v>163</v>
      </c>
      <c r="B17" s="4">
        <v>39433</v>
      </c>
      <c r="C17" s="3" t="s">
        <v>10</v>
      </c>
      <c r="D17" s="5">
        <f t="shared" si="0"/>
        <v>30</v>
      </c>
      <c r="F17"/>
      <c r="G17" s="50" t="s">
        <v>246</v>
      </c>
      <c r="H17"/>
      <c r="I17"/>
    </row>
    <row r="18" spans="1:9" x14ac:dyDescent="0.25">
      <c r="A18" s="2" t="s">
        <v>164</v>
      </c>
      <c r="B18" s="4">
        <v>39462</v>
      </c>
      <c r="C18" s="3" t="s">
        <v>12</v>
      </c>
      <c r="D18" s="5">
        <f t="shared" si="0"/>
        <v>35</v>
      </c>
      <c r="G18" s="150"/>
      <c r="H18" s="150"/>
    </row>
    <row r="19" spans="1:9" x14ac:dyDescent="0.25">
      <c r="A19" s="2" t="s">
        <v>165</v>
      </c>
      <c r="B19" s="4">
        <v>39503</v>
      </c>
      <c r="C19" s="3" t="s">
        <v>13</v>
      </c>
      <c r="D19" s="5">
        <f t="shared" si="0"/>
        <v>40</v>
      </c>
      <c r="G19" s="145"/>
      <c r="H19" s="145"/>
      <c r="I19" s="117"/>
    </row>
    <row r="20" spans="1:9" x14ac:dyDescent="0.25">
      <c r="G20" s="150"/>
      <c r="H20" s="150"/>
    </row>
    <row r="21" spans="1:9" x14ac:dyDescent="0.25">
      <c r="G21" s="150"/>
      <c r="H21" s="150"/>
    </row>
    <row r="22" spans="1:9" x14ac:dyDescent="0.25">
      <c r="G22" s="150"/>
      <c r="H22" s="150"/>
    </row>
    <row r="23" spans="1:9" x14ac:dyDescent="0.25">
      <c r="G23" s="150"/>
      <c r="H23" s="150"/>
    </row>
    <row r="24" spans="1:9" x14ac:dyDescent="0.25">
      <c r="G24" s="150"/>
      <c r="H24" s="150"/>
    </row>
    <row r="25" spans="1:9" x14ac:dyDescent="0.25">
      <c r="G25" s="150"/>
      <c r="H25" s="150"/>
    </row>
    <row r="26" spans="1:9" x14ac:dyDescent="0.25">
      <c r="G26" s="150"/>
      <c r="H26" s="150"/>
    </row>
    <row r="27" spans="1:9" x14ac:dyDescent="0.25">
      <c r="G27" s="150"/>
      <c r="H27" s="150"/>
    </row>
    <row r="29" spans="1:9" x14ac:dyDescent="0.25">
      <c r="G29" s="150"/>
      <c r="H29" s="150"/>
    </row>
    <row r="30" spans="1:9" x14ac:dyDescent="0.25">
      <c r="G30" s="150"/>
      <c r="H30" s="150"/>
    </row>
    <row r="31" spans="1:9" x14ac:dyDescent="0.25">
      <c r="G31" s="150"/>
      <c r="H31" s="150"/>
    </row>
  </sheetData>
  <phoneticPr fontId="0" type="noConversion"/>
  <hyperlinks>
    <hyperlink ref="G17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2:L30"/>
  <sheetViews>
    <sheetView showGridLines="0" workbookViewId="0">
      <selection activeCell="D11" sqref="D11"/>
    </sheetView>
  </sheetViews>
  <sheetFormatPr defaultColWidth="11.44140625" defaultRowHeight="13.2" x14ac:dyDescent="0.25"/>
  <cols>
    <col min="1" max="1" width="9.88671875" style="1" customWidth="1"/>
    <col min="2" max="2" width="20.33203125" customWidth="1"/>
    <col min="3" max="3" width="14.5546875" customWidth="1"/>
    <col min="4" max="4" width="11.44140625" customWidth="1"/>
    <col min="5" max="5" width="11.44140625" style="1" customWidth="1"/>
    <col min="6" max="6" width="15.6640625" style="1" customWidth="1"/>
    <col min="7" max="7" width="7" style="1" customWidth="1"/>
    <col min="8" max="16384" width="11.44140625" style="1"/>
  </cols>
  <sheetData>
    <row r="2" spans="1:12" x14ac:dyDescent="0.25">
      <c r="A2"/>
      <c r="K2" s="50"/>
      <c r="L2" s="73"/>
    </row>
    <row r="3" spans="1:12" x14ac:dyDescent="0.25">
      <c r="A3"/>
    </row>
    <row r="9" spans="1:12" x14ac:dyDescent="0.25">
      <c r="A9" s="30" t="s">
        <v>167</v>
      </c>
      <c r="B9" s="8" t="s">
        <v>155</v>
      </c>
      <c r="C9" s="8" t="s">
        <v>224</v>
      </c>
      <c r="D9" s="8" t="s">
        <v>14</v>
      </c>
      <c r="E9"/>
      <c r="F9" s="7" t="s">
        <v>224</v>
      </c>
      <c r="G9" s="7" t="s">
        <v>14</v>
      </c>
    </row>
    <row r="10" spans="1:12" customFormat="1" x14ac:dyDescent="0.25">
      <c r="A10" s="2" t="s">
        <v>0</v>
      </c>
      <c r="B10" s="4">
        <v>39340</v>
      </c>
      <c r="C10" s="3" t="s">
        <v>10</v>
      </c>
      <c r="D10" s="3">
        <f t="shared" ref="D10:D19" si="0">INDEX($G$10:$G$13,MATCH(C10,$F$10:$F$13,0))</f>
        <v>30</v>
      </c>
      <c r="E10" s="1"/>
      <c r="F10" s="29" t="s">
        <v>11</v>
      </c>
      <c r="G10" s="2">
        <v>20</v>
      </c>
      <c r="H10" s="1"/>
    </row>
    <row r="11" spans="1:12" customFormat="1" x14ac:dyDescent="0.25">
      <c r="A11" s="2" t="s">
        <v>1</v>
      </c>
      <c r="B11" s="4">
        <v>39645</v>
      </c>
      <c r="C11" s="3" t="s">
        <v>11</v>
      </c>
      <c r="D11" s="3">
        <f t="shared" si="0"/>
        <v>20</v>
      </c>
      <c r="F11" s="29" t="s">
        <v>10</v>
      </c>
      <c r="G11" s="2">
        <v>30</v>
      </c>
      <c r="H11" s="1"/>
    </row>
    <row r="12" spans="1:12" customFormat="1" x14ac:dyDescent="0.25">
      <c r="A12" s="2" t="s">
        <v>2</v>
      </c>
      <c r="B12" s="4">
        <v>39645</v>
      </c>
      <c r="C12" s="3" t="s">
        <v>12</v>
      </c>
      <c r="D12" s="3">
        <f t="shared" si="0"/>
        <v>35</v>
      </c>
      <c r="F12" s="29" t="s">
        <v>12</v>
      </c>
      <c r="G12" s="2">
        <v>35</v>
      </c>
    </row>
    <row r="13" spans="1:12" customFormat="1" x14ac:dyDescent="0.25">
      <c r="A13" s="2" t="s">
        <v>3</v>
      </c>
      <c r="B13" s="4">
        <v>39645</v>
      </c>
      <c r="C13" s="3" t="s">
        <v>11</v>
      </c>
      <c r="D13" s="3">
        <f t="shared" si="0"/>
        <v>20</v>
      </c>
      <c r="F13" s="29" t="s">
        <v>13</v>
      </c>
      <c r="G13" s="2">
        <v>40</v>
      </c>
    </row>
    <row r="14" spans="1:12" customFormat="1" x14ac:dyDescent="0.25">
      <c r="A14" s="2" t="s">
        <v>4</v>
      </c>
      <c r="B14" s="4">
        <v>39406</v>
      </c>
      <c r="C14" s="3" t="s">
        <v>10</v>
      </c>
      <c r="D14" s="3">
        <f t="shared" si="0"/>
        <v>30</v>
      </c>
    </row>
    <row r="15" spans="1:12" customFormat="1" x14ac:dyDescent="0.25">
      <c r="A15" s="2" t="s">
        <v>5</v>
      </c>
      <c r="B15" s="4">
        <v>39370</v>
      </c>
      <c r="C15" s="3" t="s">
        <v>12</v>
      </c>
      <c r="D15" s="3">
        <f t="shared" si="0"/>
        <v>35</v>
      </c>
    </row>
    <row r="16" spans="1:12" customFormat="1" x14ac:dyDescent="0.25">
      <c r="A16" s="2" t="s">
        <v>6</v>
      </c>
      <c r="B16" s="4">
        <v>39370</v>
      </c>
      <c r="C16" s="3" t="s">
        <v>11</v>
      </c>
      <c r="D16" s="3">
        <f t="shared" si="0"/>
        <v>20</v>
      </c>
      <c r="F16" s="283" t="s">
        <v>246</v>
      </c>
    </row>
    <row r="17" spans="1:8" x14ac:dyDescent="0.25">
      <c r="A17" s="2" t="s">
        <v>7</v>
      </c>
      <c r="B17" s="4">
        <v>39433</v>
      </c>
      <c r="C17" s="3" t="s">
        <v>10</v>
      </c>
      <c r="D17" s="3">
        <f t="shared" si="0"/>
        <v>30</v>
      </c>
      <c r="E17"/>
      <c r="F17" s="155"/>
      <c r="G17" s="155"/>
      <c r="H17"/>
    </row>
    <row r="18" spans="1:8" ht="11.4" x14ac:dyDescent="0.2">
      <c r="A18" s="2" t="s">
        <v>8</v>
      </c>
      <c r="B18" s="4">
        <v>39462</v>
      </c>
      <c r="C18" s="3" t="s">
        <v>12</v>
      </c>
      <c r="D18" s="3">
        <f t="shared" si="0"/>
        <v>35</v>
      </c>
      <c r="F18" s="150"/>
      <c r="G18" s="150"/>
    </row>
    <row r="19" spans="1:8" ht="11.4" x14ac:dyDescent="0.2">
      <c r="A19" s="2" t="s">
        <v>9</v>
      </c>
      <c r="B19" s="4">
        <v>39503</v>
      </c>
      <c r="C19" s="3" t="s">
        <v>13</v>
      </c>
      <c r="D19" s="3">
        <f t="shared" si="0"/>
        <v>40</v>
      </c>
      <c r="F19" s="145"/>
      <c r="G19" s="145"/>
    </row>
    <row r="20" spans="1:8" x14ac:dyDescent="0.25">
      <c r="F20" s="145"/>
      <c r="G20" s="145"/>
    </row>
    <row r="21" spans="1:8" x14ac:dyDescent="0.25">
      <c r="F21" s="150"/>
      <c r="G21" s="150"/>
    </row>
    <row r="22" spans="1:8" x14ac:dyDescent="0.25">
      <c r="F22" s="150"/>
      <c r="G22" s="150"/>
    </row>
    <row r="23" spans="1:8" x14ac:dyDescent="0.25">
      <c r="F23" s="150"/>
      <c r="G23" s="150"/>
    </row>
    <row r="24" spans="1:8" x14ac:dyDescent="0.25">
      <c r="F24" s="150"/>
      <c r="G24" s="150"/>
    </row>
    <row r="25" spans="1:8" x14ac:dyDescent="0.25">
      <c r="F25" s="150"/>
      <c r="G25" s="150"/>
    </row>
    <row r="26" spans="1:8" x14ac:dyDescent="0.25">
      <c r="F26" s="150"/>
      <c r="G26" s="150"/>
    </row>
    <row r="28" spans="1:8" x14ac:dyDescent="0.25">
      <c r="F28" s="150"/>
      <c r="G28" s="150"/>
    </row>
    <row r="29" spans="1:8" x14ac:dyDescent="0.25">
      <c r="F29" s="150"/>
      <c r="G29" s="150"/>
    </row>
    <row r="30" spans="1:8" x14ac:dyDescent="0.25">
      <c r="F30" s="150"/>
      <c r="G30" s="150"/>
    </row>
  </sheetData>
  <phoneticPr fontId="0" type="noConversion"/>
  <hyperlinks>
    <hyperlink ref="F16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2:M40"/>
  <sheetViews>
    <sheetView showGridLines="0" zoomScale="90" workbookViewId="0">
      <selection activeCell="M2" sqref="M2"/>
    </sheetView>
  </sheetViews>
  <sheetFormatPr defaultColWidth="11.44140625" defaultRowHeight="11.4" x14ac:dyDescent="0.2"/>
  <cols>
    <col min="1" max="1" width="9.6640625" style="1" customWidth="1"/>
    <col min="2" max="2" width="14.109375" style="1" customWidth="1"/>
    <col min="3" max="3" width="19.5546875" style="9" customWidth="1"/>
    <col min="4" max="4" width="17.109375" style="9" customWidth="1"/>
    <col min="5" max="5" width="9.44140625" style="9" customWidth="1"/>
    <col min="6" max="6" width="5.109375" style="9" customWidth="1"/>
    <col min="7" max="7" width="6.88671875" style="1" customWidth="1"/>
    <col min="8" max="8" width="13.5546875" style="1" customWidth="1"/>
    <col min="9" max="9" width="7.44140625" style="1" customWidth="1"/>
    <col min="10" max="10" width="8.33203125" style="1" customWidth="1"/>
    <col min="11" max="11" width="8.6640625" style="1" customWidth="1"/>
    <col min="12" max="12" width="7.33203125" style="1" customWidth="1"/>
    <col min="13" max="16384" width="11.44140625" style="1"/>
  </cols>
  <sheetData>
    <row r="2" spans="1:13" x14ac:dyDescent="0.2">
      <c r="L2" s="50"/>
      <c r="M2" s="50" t="s">
        <v>246</v>
      </c>
    </row>
    <row r="4" spans="1:13" x14ac:dyDescent="0.2">
      <c r="A4" s="9"/>
      <c r="B4" s="9"/>
    </row>
    <row r="5" spans="1:13" x14ac:dyDescent="0.2">
      <c r="A5" s="9"/>
      <c r="B5" s="9"/>
    </row>
    <row r="6" spans="1:13" x14ac:dyDescent="0.2">
      <c r="H6" s="11"/>
      <c r="I6" s="10"/>
    </row>
    <row r="7" spans="1:13" ht="12" thickBot="1" x14ac:dyDescent="0.25">
      <c r="H7" s="11"/>
      <c r="I7" s="31" t="s">
        <v>225</v>
      </c>
    </row>
    <row r="8" spans="1:13" ht="12.6" thickTop="1" thickBot="1" x14ac:dyDescent="0.25">
      <c r="A8" s="30" t="s">
        <v>167</v>
      </c>
      <c r="B8" s="8" t="s">
        <v>225</v>
      </c>
      <c r="C8" s="8" t="s">
        <v>155</v>
      </c>
      <c r="D8" s="8" t="s">
        <v>224</v>
      </c>
      <c r="E8" s="8" t="s">
        <v>14</v>
      </c>
      <c r="H8" s="31" t="s">
        <v>224</v>
      </c>
      <c r="I8" s="277" t="s">
        <v>27</v>
      </c>
      <c r="J8" s="278" t="s">
        <v>28</v>
      </c>
      <c r="K8" s="278" t="s">
        <v>29</v>
      </c>
      <c r="L8" s="279" t="s">
        <v>30</v>
      </c>
    </row>
    <row r="9" spans="1:13" ht="12" thickTop="1" x14ac:dyDescent="0.2">
      <c r="A9" s="2" t="s">
        <v>0</v>
      </c>
      <c r="B9" s="274" t="s">
        <v>27</v>
      </c>
      <c r="C9" s="4">
        <v>39340</v>
      </c>
      <c r="D9" s="267" t="s">
        <v>10</v>
      </c>
      <c r="E9" s="5">
        <f>VLOOKUP(D9,KOD_TARIF,MATCH(B9,KOD_OBLAST,0)+1,FALSE)</f>
        <v>33</v>
      </c>
      <c r="H9" s="268" t="s">
        <v>11</v>
      </c>
      <c r="I9" s="275">
        <v>20</v>
      </c>
      <c r="J9" s="275">
        <v>15</v>
      </c>
      <c r="K9" s="275">
        <v>10</v>
      </c>
      <c r="L9" s="276">
        <v>10</v>
      </c>
    </row>
    <row r="10" spans="1:13" x14ac:dyDescent="0.2">
      <c r="A10" s="2" t="s">
        <v>1</v>
      </c>
      <c r="B10" s="12" t="s">
        <v>28</v>
      </c>
      <c r="C10" s="4">
        <v>39645</v>
      </c>
      <c r="D10" s="3" t="s">
        <v>11</v>
      </c>
      <c r="E10" s="5">
        <f t="shared" ref="E10:E18" si="0">VLOOKUP(D10,KOD_TARIF,MATCH(B10,KOD_OBLAST,0)+1,FALSE)</f>
        <v>15</v>
      </c>
      <c r="H10" s="269" t="s">
        <v>10</v>
      </c>
      <c r="I10" s="2">
        <v>33</v>
      </c>
      <c r="J10" s="2">
        <v>20</v>
      </c>
      <c r="K10" s="2">
        <v>12</v>
      </c>
      <c r="L10" s="270">
        <v>12</v>
      </c>
    </row>
    <row r="11" spans="1:13" x14ac:dyDescent="0.2">
      <c r="A11" s="2" t="s">
        <v>2</v>
      </c>
      <c r="B11" s="12" t="s">
        <v>29</v>
      </c>
      <c r="C11" s="4">
        <v>39645</v>
      </c>
      <c r="D11" s="3" t="s">
        <v>12</v>
      </c>
      <c r="E11" s="5">
        <f t="shared" si="0"/>
        <v>14</v>
      </c>
      <c r="H11" s="269" t="s">
        <v>12</v>
      </c>
      <c r="I11" s="2">
        <v>35</v>
      </c>
      <c r="J11" s="2">
        <v>25</v>
      </c>
      <c r="K11" s="2">
        <v>14</v>
      </c>
      <c r="L11" s="270">
        <v>14</v>
      </c>
    </row>
    <row r="12" spans="1:13" s="9" customFormat="1" ht="12" thickBot="1" x14ac:dyDescent="0.25">
      <c r="A12" s="2" t="s">
        <v>3</v>
      </c>
      <c r="B12" s="12" t="s">
        <v>30</v>
      </c>
      <c r="C12" s="4">
        <v>39645</v>
      </c>
      <c r="D12" s="3" t="s">
        <v>11</v>
      </c>
      <c r="E12" s="5">
        <f t="shared" si="0"/>
        <v>10</v>
      </c>
      <c r="H12" s="271" t="s">
        <v>13</v>
      </c>
      <c r="I12" s="272">
        <v>40</v>
      </c>
      <c r="J12" s="272">
        <v>30</v>
      </c>
      <c r="K12" s="272">
        <v>20</v>
      </c>
      <c r="L12" s="273">
        <v>20</v>
      </c>
    </row>
    <row r="13" spans="1:13" s="9" customFormat="1" ht="12" thickTop="1" x14ac:dyDescent="0.2">
      <c r="A13" s="2" t="s">
        <v>4</v>
      </c>
      <c r="B13" s="12" t="s">
        <v>27</v>
      </c>
      <c r="C13" s="4">
        <v>39406</v>
      </c>
      <c r="D13" s="3" t="s">
        <v>10</v>
      </c>
      <c r="E13" s="5">
        <f t="shared" si="0"/>
        <v>33</v>
      </c>
    </row>
    <row r="14" spans="1:13" s="9" customFormat="1" x14ac:dyDescent="0.2">
      <c r="A14" s="2" t="s">
        <v>5</v>
      </c>
      <c r="B14" s="12" t="s">
        <v>28</v>
      </c>
      <c r="C14" s="4">
        <v>39370</v>
      </c>
      <c r="D14" s="3" t="s">
        <v>12</v>
      </c>
      <c r="E14" s="5">
        <f t="shared" si="0"/>
        <v>25</v>
      </c>
    </row>
    <row r="15" spans="1:13" s="9" customFormat="1" x14ac:dyDescent="0.2">
      <c r="A15" s="2" t="s">
        <v>6</v>
      </c>
      <c r="B15" s="12" t="s">
        <v>29</v>
      </c>
      <c r="C15" s="4">
        <v>39370</v>
      </c>
      <c r="D15" s="3" t="s">
        <v>11</v>
      </c>
      <c r="E15" s="5">
        <f t="shared" si="0"/>
        <v>10</v>
      </c>
      <c r="H15" s="150"/>
      <c r="I15" s="262"/>
      <c r="J15" s="261"/>
    </row>
    <row r="16" spans="1:13" s="9" customFormat="1" x14ac:dyDescent="0.2">
      <c r="A16" s="2" t="s">
        <v>7</v>
      </c>
      <c r="B16" s="12" t="s">
        <v>29</v>
      </c>
      <c r="C16" s="4">
        <v>39433</v>
      </c>
      <c r="D16" s="3" t="s">
        <v>10</v>
      </c>
      <c r="E16" s="5">
        <f t="shared" si="0"/>
        <v>12</v>
      </c>
    </row>
    <row r="17" spans="1:13" s="9" customFormat="1" x14ac:dyDescent="0.2">
      <c r="A17" s="2" t="s">
        <v>8</v>
      </c>
      <c r="B17" s="12" t="s">
        <v>30</v>
      </c>
      <c r="C17" s="4">
        <v>39462</v>
      </c>
      <c r="D17" s="3" t="s">
        <v>12</v>
      </c>
      <c r="E17" s="5">
        <f t="shared" si="0"/>
        <v>14</v>
      </c>
    </row>
    <row r="18" spans="1:13" s="9" customFormat="1" ht="13.2" x14ac:dyDescent="0.25">
      <c r="A18" s="2" t="s">
        <v>9</v>
      </c>
      <c r="B18" s="12" t="s">
        <v>29</v>
      </c>
      <c r="C18" s="4">
        <v>39503</v>
      </c>
      <c r="D18" s="3" t="s">
        <v>13</v>
      </c>
      <c r="E18" s="5">
        <f t="shared" si="0"/>
        <v>20</v>
      </c>
      <c r="H18" s="145"/>
      <c r="I18" s="145"/>
      <c r="J18" s="145"/>
      <c r="K18" s="117"/>
      <c r="L18"/>
    </row>
    <row r="19" spans="1:13" x14ac:dyDescent="0.2">
      <c r="H19" s="150"/>
      <c r="I19" s="150"/>
    </row>
    <row r="20" spans="1:13" ht="13.2" x14ac:dyDescent="0.25">
      <c r="H20" s="155"/>
      <c r="I20" s="155"/>
      <c r="J20"/>
      <c r="K20"/>
      <c r="L20"/>
    </row>
    <row r="21" spans="1:13" ht="13.2" x14ac:dyDescent="0.25">
      <c r="H21" s="155"/>
      <c r="I21" s="155"/>
      <c r="J21"/>
      <c r="K21"/>
      <c r="L21"/>
    </row>
    <row r="22" spans="1:13" ht="13.2" x14ac:dyDescent="0.25">
      <c r="J22"/>
      <c r="K22"/>
      <c r="L22"/>
    </row>
    <row r="24" spans="1:13" x14ac:dyDescent="0.2">
      <c r="H24" s="150"/>
      <c r="I24" s="150"/>
    </row>
    <row r="25" spans="1:13" x14ac:dyDescent="0.2">
      <c r="H25" s="150"/>
      <c r="I25" s="150"/>
    </row>
    <row r="26" spans="1:13" x14ac:dyDescent="0.2">
      <c r="H26" s="150"/>
      <c r="I26" s="150"/>
    </row>
    <row r="27" spans="1:13" x14ac:dyDescent="0.2">
      <c r="H27" s="150"/>
      <c r="I27" s="150"/>
    </row>
    <row r="28" spans="1:13" x14ac:dyDescent="0.2">
      <c r="B28" s="1" t="s">
        <v>148</v>
      </c>
      <c r="H28" s="150"/>
      <c r="I28" s="150"/>
    </row>
    <row r="29" spans="1:13" ht="13.2" x14ac:dyDescent="0.25">
      <c r="K29"/>
      <c r="L29"/>
      <c r="M29" s="9"/>
    </row>
    <row r="30" spans="1:13" ht="13.2" x14ac:dyDescent="0.25">
      <c r="B30" s="155" t="s">
        <v>226</v>
      </c>
      <c r="D30" s="155" t="s">
        <v>169</v>
      </c>
      <c r="H30" s="1" t="s">
        <v>228</v>
      </c>
      <c r="K30" s="117"/>
      <c r="L30"/>
      <c r="M30" s="9"/>
    </row>
    <row r="31" spans="1:13" x14ac:dyDescent="0.2">
      <c r="B31" s="150" t="s">
        <v>168</v>
      </c>
      <c r="D31" s="150" t="s">
        <v>170</v>
      </c>
      <c r="H31" s="150"/>
      <c r="I31" s="150"/>
    </row>
    <row r="32" spans="1:13" x14ac:dyDescent="0.2">
      <c r="H32" s="150"/>
      <c r="I32" s="150"/>
    </row>
    <row r="33" spans="8:9" x14ac:dyDescent="0.2">
      <c r="H33" s="150"/>
      <c r="I33" s="150"/>
    </row>
    <row r="34" spans="8:9" x14ac:dyDescent="0.2">
      <c r="H34" s="150"/>
      <c r="I34" s="150"/>
    </row>
    <row r="35" spans="8:9" x14ac:dyDescent="0.2">
      <c r="H35" s="150"/>
      <c r="I35" s="150"/>
    </row>
    <row r="36" spans="8:9" x14ac:dyDescent="0.2">
      <c r="H36" s="150"/>
      <c r="I36" s="150"/>
    </row>
    <row r="37" spans="8:9" x14ac:dyDescent="0.2">
      <c r="H37" s="150"/>
      <c r="I37" s="150"/>
    </row>
    <row r="38" spans="8:9" x14ac:dyDescent="0.2">
      <c r="H38" s="150"/>
      <c r="I38" s="150"/>
    </row>
    <row r="39" spans="8:9" x14ac:dyDescent="0.2">
      <c r="H39" s="150"/>
      <c r="I39" s="150"/>
    </row>
    <row r="40" spans="8:9" x14ac:dyDescent="0.2">
      <c r="H40" s="150"/>
      <c r="I40" s="150"/>
    </row>
  </sheetData>
  <phoneticPr fontId="0" type="noConversion"/>
  <hyperlinks>
    <hyperlink ref="M2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2:M46"/>
  <sheetViews>
    <sheetView showGridLines="0" workbookViewId="0"/>
  </sheetViews>
  <sheetFormatPr defaultColWidth="11.44140625" defaultRowHeight="11.4" x14ac:dyDescent="0.2"/>
  <cols>
    <col min="1" max="1" width="10.44140625" style="1" customWidth="1"/>
    <col min="2" max="2" width="11.6640625" style="1" customWidth="1"/>
    <col min="3" max="3" width="19.6640625" style="9" customWidth="1"/>
    <col min="4" max="4" width="12" style="9" customWidth="1"/>
    <col min="5" max="5" width="10" style="9" customWidth="1"/>
    <col min="6" max="6" width="11.44140625" style="9" customWidth="1"/>
    <col min="7" max="7" width="11.44140625" style="1" customWidth="1"/>
    <col min="8" max="8" width="14.5546875" style="1" customWidth="1"/>
    <col min="9" max="9" width="8.6640625" style="1" customWidth="1"/>
    <col min="10" max="10" width="8.33203125" style="1" customWidth="1"/>
    <col min="11" max="11" width="8.6640625" style="1" customWidth="1"/>
    <col min="12" max="12" width="6.33203125" style="1" bestFit="1" customWidth="1"/>
    <col min="13" max="16384" width="11.44140625" style="1"/>
  </cols>
  <sheetData>
    <row r="2" spans="1:12" x14ac:dyDescent="0.2">
      <c r="L2" s="50" t="s">
        <v>246</v>
      </c>
    </row>
    <row r="4" spans="1:12" x14ac:dyDescent="0.2">
      <c r="A4" s="9"/>
      <c r="B4" s="9"/>
    </row>
    <row r="5" spans="1:12" x14ac:dyDescent="0.2">
      <c r="A5" s="9"/>
      <c r="B5" s="9"/>
    </row>
    <row r="6" spans="1:12" x14ac:dyDescent="0.2">
      <c r="H6" s="11"/>
      <c r="I6" s="10"/>
    </row>
    <row r="7" spans="1:12" ht="12" thickBot="1" x14ac:dyDescent="0.25">
      <c r="H7" s="11"/>
      <c r="I7" s="31" t="s">
        <v>225</v>
      </c>
    </row>
    <row r="8" spans="1:12" ht="12" thickBot="1" x14ac:dyDescent="0.25">
      <c r="A8" s="30" t="s">
        <v>167</v>
      </c>
      <c r="B8" s="8" t="s">
        <v>225</v>
      </c>
      <c r="C8" s="8" t="s">
        <v>155</v>
      </c>
      <c r="D8" s="8" t="s">
        <v>156</v>
      </c>
      <c r="E8" s="8" t="s">
        <v>14</v>
      </c>
      <c r="H8" s="31" t="s">
        <v>156</v>
      </c>
      <c r="I8" s="37" t="s">
        <v>27</v>
      </c>
      <c r="J8" s="38" t="s">
        <v>28</v>
      </c>
      <c r="K8" s="38" t="s">
        <v>29</v>
      </c>
      <c r="L8" s="39" t="s">
        <v>30</v>
      </c>
    </row>
    <row r="9" spans="1:12" x14ac:dyDescent="0.2">
      <c r="A9" s="2" t="s">
        <v>0</v>
      </c>
      <c r="B9" s="12" t="s">
        <v>27</v>
      </c>
      <c r="C9" s="4">
        <v>39340</v>
      </c>
      <c r="D9" s="12" t="s">
        <v>10</v>
      </c>
      <c r="E9" s="5">
        <f>INDEX(DATA1,MATCH(D9,KOD_TARIF2,0),MATCH(B9,KOD_OBLAST2,0))</f>
        <v>33</v>
      </c>
      <c r="H9" s="43" t="s">
        <v>11</v>
      </c>
      <c r="I9" s="40">
        <v>20</v>
      </c>
      <c r="J9" s="32">
        <v>15</v>
      </c>
      <c r="K9" s="32">
        <v>10</v>
      </c>
      <c r="L9" s="33">
        <v>10</v>
      </c>
    </row>
    <row r="10" spans="1:12" x14ac:dyDescent="0.2">
      <c r="A10" s="2" t="s">
        <v>1</v>
      </c>
      <c r="B10" s="12" t="s">
        <v>28</v>
      </c>
      <c r="C10" s="4">
        <v>39645</v>
      </c>
      <c r="D10" s="12" t="s">
        <v>11</v>
      </c>
      <c r="E10" s="5">
        <f t="shared" ref="E10:E18" si="0">INDEX(DATA1,MATCH(D10,KOD_TARIF2,0),MATCH(B10,KOD_OBLAST2,0))</f>
        <v>15</v>
      </c>
      <c r="H10" s="44" t="s">
        <v>10</v>
      </c>
      <c r="I10" s="41">
        <v>33</v>
      </c>
      <c r="J10" s="2">
        <v>20</v>
      </c>
      <c r="K10" s="2">
        <v>12</v>
      </c>
      <c r="L10" s="34">
        <v>12</v>
      </c>
    </row>
    <row r="11" spans="1:12" x14ac:dyDescent="0.2">
      <c r="A11" s="2" t="s">
        <v>2</v>
      </c>
      <c r="B11" s="12" t="s">
        <v>29</v>
      </c>
      <c r="C11" s="4">
        <v>39645</v>
      </c>
      <c r="D11" s="12" t="s">
        <v>12</v>
      </c>
      <c r="E11" s="5">
        <f t="shared" si="0"/>
        <v>14</v>
      </c>
      <c r="H11" s="44" t="s">
        <v>12</v>
      </c>
      <c r="I11" s="41">
        <v>35</v>
      </c>
      <c r="J11" s="2">
        <v>25</v>
      </c>
      <c r="K11" s="2">
        <v>14</v>
      </c>
      <c r="L11" s="34">
        <v>14</v>
      </c>
    </row>
    <row r="12" spans="1:12" s="9" customFormat="1" ht="12" thickBot="1" x14ac:dyDescent="0.25">
      <c r="A12" s="2" t="s">
        <v>3</v>
      </c>
      <c r="B12" s="12" t="s">
        <v>30</v>
      </c>
      <c r="C12" s="4">
        <v>39645</v>
      </c>
      <c r="D12" s="12" t="s">
        <v>11</v>
      </c>
      <c r="E12" s="5">
        <f t="shared" si="0"/>
        <v>10</v>
      </c>
      <c r="H12" s="45" t="s">
        <v>13</v>
      </c>
      <c r="I12" s="42">
        <v>40</v>
      </c>
      <c r="J12" s="35">
        <v>30</v>
      </c>
      <c r="K12" s="35">
        <v>20</v>
      </c>
      <c r="L12" s="36">
        <v>20</v>
      </c>
    </row>
    <row r="13" spans="1:12" s="9" customFormat="1" x14ac:dyDescent="0.2">
      <c r="A13" s="2" t="s">
        <v>4</v>
      </c>
      <c r="B13" s="12" t="s">
        <v>27</v>
      </c>
      <c r="C13" s="4">
        <v>39406</v>
      </c>
      <c r="D13" s="12" t="s">
        <v>10</v>
      </c>
      <c r="E13" s="5">
        <f t="shared" si="0"/>
        <v>33</v>
      </c>
    </row>
    <row r="14" spans="1:12" s="9" customFormat="1" x14ac:dyDescent="0.2">
      <c r="A14" s="2" t="s">
        <v>5</v>
      </c>
      <c r="B14" s="12" t="s">
        <v>28</v>
      </c>
      <c r="C14" s="4">
        <v>39370</v>
      </c>
      <c r="D14" s="12" t="s">
        <v>12</v>
      </c>
      <c r="E14" s="5">
        <f t="shared" si="0"/>
        <v>25</v>
      </c>
    </row>
    <row r="15" spans="1:12" s="9" customFormat="1" x14ac:dyDescent="0.2">
      <c r="A15" s="2" t="s">
        <v>6</v>
      </c>
      <c r="B15" s="12" t="s">
        <v>29</v>
      </c>
      <c r="C15" s="4">
        <v>39370</v>
      </c>
      <c r="D15" s="12" t="s">
        <v>11</v>
      </c>
      <c r="E15" s="5">
        <f t="shared" si="0"/>
        <v>10</v>
      </c>
    </row>
    <row r="16" spans="1:12" s="9" customFormat="1" ht="13.2" x14ac:dyDescent="0.25">
      <c r="A16" s="2" t="s">
        <v>7</v>
      </c>
      <c r="B16" s="12" t="s">
        <v>29</v>
      </c>
      <c r="C16" s="4">
        <v>39433</v>
      </c>
      <c r="D16" s="12" t="s">
        <v>10</v>
      </c>
      <c r="E16" s="5">
        <f t="shared" si="0"/>
        <v>12</v>
      </c>
      <c r="H16" s="155"/>
      <c r="I16" s="155"/>
      <c r="J16"/>
      <c r="K16"/>
      <c r="L16"/>
    </row>
    <row r="17" spans="1:13" s="9" customFormat="1" ht="13.2" x14ac:dyDescent="0.25">
      <c r="A17" s="2" t="s">
        <v>8</v>
      </c>
      <c r="B17" s="12" t="s">
        <v>30</v>
      </c>
      <c r="C17" s="4">
        <v>39462</v>
      </c>
      <c r="D17" s="12" t="s">
        <v>12</v>
      </c>
      <c r="E17" s="5">
        <f t="shared" si="0"/>
        <v>14</v>
      </c>
      <c r="H17" s="155" t="s">
        <v>227</v>
      </c>
      <c r="I17" s="155" t="s">
        <v>171</v>
      </c>
      <c r="J17" s="145"/>
      <c r="K17" s="117"/>
      <c r="L17"/>
    </row>
    <row r="18" spans="1:13" s="9" customFormat="1" ht="13.2" x14ac:dyDescent="0.25">
      <c r="A18" s="2" t="s">
        <v>9</v>
      </c>
      <c r="B18" s="12" t="s">
        <v>29</v>
      </c>
      <c r="C18" s="4">
        <v>39503</v>
      </c>
      <c r="D18" s="12" t="s">
        <v>13</v>
      </c>
      <c r="E18" s="5">
        <f t="shared" si="0"/>
        <v>20</v>
      </c>
      <c r="H18" s="155" t="s">
        <v>174</v>
      </c>
      <c r="I18" s="155" t="s">
        <v>175</v>
      </c>
      <c r="J18" s="145"/>
      <c r="K18" s="117"/>
      <c r="L18"/>
    </row>
    <row r="19" spans="1:13" ht="13.2" x14ac:dyDescent="0.25">
      <c r="H19" s="150" t="s">
        <v>172</v>
      </c>
      <c r="I19" s="262" t="s">
        <v>173</v>
      </c>
      <c r="J19" s="145"/>
      <c r="K19" s="117"/>
      <c r="L19"/>
    </row>
    <row r="20" spans="1:13" ht="13.2" x14ac:dyDescent="0.25">
      <c r="H20" s="155"/>
      <c r="I20" s="155"/>
      <c r="J20"/>
      <c r="K20"/>
      <c r="L20"/>
      <c r="M20"/>
    </row>
    <row r="21" spans="1:13" ht="13.2" x14ac:dyDescent="0.25">
      <c r="B21" s="150"/>
      <c r="C21" s="262"/>
      <c r="H21" s="155"/>
      <c r="I21" s="155"/>
      <c r="J21"/>
      <c r="K21"/>
      <c r="L21"/>
      <c r="M21"/>
    </row>
    <row r="22" spans="1:13" ht="13.2" x14ac:dyDescent="0.25">
      <c r="B22" s="150"/>
      <c r="C22" s="262"/>
      <c r="H22" s="155"/>
      <c r="I22" s="155"/>
      <c r="J22"/>
      <c r="K22"/>
      <c r="L22"/>
      <c r="M22"/>
    </row>
    <row r="23" spans="1:13" ht="13.2" x14ac:dyDescent="0.25">
      <c r="B23" s="150"/>
      <c r="C23" s="262"/>
      <c r="H23" s="155"/>
      <c r="I23" s="155"/>
      <c r="J23"/>
      <c r="K23"/>
      <c r="L23"/>
      <c r="M23"/>
    </row>
    <row r="24" spans="1:13" ht="13.2" x14ac:dyDescent="0.25">
      <c r="B24" s="150"/>
      <c r="C24" s="262"/>
      <c r="H24" s="155"/>
      <c r="I24" s="155"/>
      <c r="J24"/>
      <c r="K24"/>
      <c r="L24"/>
      <c r="M24"/>
    </row>
    <row r="25" spans="1:13" ht="13.2" x14ac:dyDescent="0.25">
      <c r="H25" s="155"/>
      <c r="I25" s="155"/>
      <c r="J25"/>
      <c r="K25"/>
      <c r="L25"/>
      <c r="M25"/>
    </row>
    <row r="26" spans="1:13" ht="13.2" x14ac:dyDescent="0.25">
      <c r="B26" s="150"/>
      <c r="C26" s="262"/>
      <c r="H26" s="155"/>
      <c r="I26" s="155"/>
      <c r="J26"/>
      <c r="K26"/>
      <c r="L26"/>
      <c r="M26"/>
    </row>
    <row r="27" spans="1:13" ht="13.2" x14ac:dyDescent="0.25">
      <c r="B27" s="150"/>
      <c r="C27" s="262"/>
      <c r="H27" s="155"/>
      <c r="I27" s="155"/>
      <c r="J27"/>
      <c r="K27"/>
      <c r="L27"/>
      <c r="M27"/>
    </row>
    <row r="28" spans="1:13" ht="13.2" x14ac:dyDescent="0.25">
      <c r="B28" s="150"/>
      <c r="C28" s="262"/>
      <c r="H28" s="155"/>
      <c r="I28" s="155"/>
      <c r="J28"/>
      <c r="K28"/>
      <c r="L28"/>
      <c r="M28"/>
    </row>
    <row r="29" spans="1:13" ht="13.2" x14ac:dyDescent="0.25">
      <c r="B29" s="150"/>
      <c r="C29" s="262"/>
      <c r="J29"/>
      <c r="K29"/>
      <c r="L29"/>
      <c r="M29"/>
    </row>
    <row r="30" spans="1:13" ht="13.2" x14ac:dyDescent="0.25">
      <c r="B30" s="150"/>
      <c r="C30" s="262"/>
      <c r="J30"/>
      <c r="K30"/>
      <c r="L30"/>
      <c r="M30"/>
    </row>
    <row r="31" spans="1:13" ht="13.2" x14ac:dyDescent="0.25">
      <c r="B31" s="150"/>
      <c r="C31" s="262"/>
      <c r="J31"/>
      <c r="K31"/>
      <c r="L31"/>
      <c r="M31"/>
    </row>
    <row r="32" spans="1:13" ht="13.2" x14ac:dyDescent="0.25">
      <c r="B32" s="150"/>
      <c r="C32" s="262"/>
      <c r="J32"/>
      <c r="K32"/>
      <c r="L32"/>
      <c r="M32"/>
    </row>
    <row r="33" spans="2:13" ht="13.2" x14ac:dyDescent="0.25">
      <c r="B33" s="150"/>
      <c r="C33" s="262"/>
      <c r="H33" s="155"/>
      <c r="I33" s="155"/>
      <c r="J33"/>
      <c r="K33"/>
      <c r="L33"/>
      <c r="M33"/>
    </row>
    <row r="34" spans="2:13" ht="13.2" x14ac:dyDescent="0.25">
      <c r="B34" s="150"/>
      <c r="C34" s="262"/>
      <c r="H34" s="155"/>
      <c r="I34" s="155"/>
      <c r="J34"/>
      <c r="K34"/>
      <c r="L34"/>
      <c r="M34"/>
    </row>
    <row r="35" spans="2:13" ht="13.2" x14ac:dyDescent="0.25">
      <c r="B35" s="150"/>
      <c r="C35" s="262"/>
      <c r="H35" s="155"/>
      <c r="I35" s="155"/>
      <c r="J35"/>
      <c r="K35"/>
      <c r="L35"/>
      <c r="M35"/>
    </row>
    <row r="36" spans="2:13" ht="13.2" x14ac:dyDescent="0.25">
      <c r="B36" s="150"/>
      <c r="C36" s="262"/>
      <c r="H36" s="155"/>
      <c r="I36" s="155"/>
      <c r="J36"/>
      <c r="K36"/>
      <c r="L36"/>
      <c r="M36"/>
    </row>
    <row r="37" spans="2:13" ht="13.2" x14ac:dyDescent="0.25">
      <c r="B37" s="150"/>
      <c r="C37" s="262"/>
      <c r="H37" s="155"/>
      <c r="I37" s="155"/>
      <c r="J37"/>
      <c r="K37"/>
      <c r="L37"/>
      <c r="M37"/>
    </row>
    <row r="38" spans="2:13" ht="13.2" x14ac:dyDescent="0.25">
      <c r="B38" s="150"/>
      <c r="C38" s="262"/>
      <c r="H38" s="155"/>
      <c r="I38" s="155"/>
      <c r="J38"/>
      <c r="K38"/>
      <c r="L38"/>
      <c r="M38"/>
    </row>
    <row r="39" spans="2:13" ht="13.2" x14ac:dyDescent="0.25">
      <c r="B39" s="150"/>
      <c r="C39" s="262"/>
      <c r="H39" s="155"/>
      <c r="I39" s="155"/>
      <c r="J39"/>
      <c r="K39"/>
      <c r="L39"/>
      <c r="M39"/>
    </row>
    <row r="40" spans="2:13" x14ac:dyDescent="0.2">
      <c r="B40" s="150"/>
      <c r="C40" s="262"/>
      <c r="H40" s="150"/>
      <c r="I40" s="150"/>
    </row>
    <row r="41" spans="2:13" x14ac:dyDescent="0.2">
      <c r="B41" s="150"/>
      <c r="C41" s="262"/>
      <c r="H41" s="150"/>
      <c r="I41" s="150"/>
    </row>
    <row r="42" spans="2:13" x14ac:dyDescent="0.2">
      <c r="B42" s="150"/>
      <c r="C42" s="262"/>
    </row>
    <row r="43" spans="2:13" x14ac:dyDescent="0.2">
      <c r="B43" s="150"/>
      <c r="C43" s="262"/>
      <c r="H43" s="150"/>
      <c r="I43" s="150"/>
    </row>
    <row r="44" spans="2:13" x14ac:dyDescent="0.2">
      <c r="B44" s="150"/>
      <c r="C44" s="262"/>
      <c r="H44" s="150"/>
      <c r="I44" s="150"/>
    </row>
    <row r="45" spans="2:13" x14ac:dyDescent="0.2">
      <c r="B45" s="150"/>
      <c r="C45" s="262"/>
      <c r="H45" s="150"/>
      <c r="I45" s="150"/>
    </row>
    <row r="46" spans="2:13" x14ac:dyDescent="0.2">
      <c r="B46" s="150"/>
      <c r="C46" s="262"/>
      <c r="H46" s="150"/>
      <c r="I46" s="150"/>
    </row>
  </sheetData>
  <phoneticPr fontId="0" type="noConversion"/>
  <hyperlinks>
    <hyperlink ref="L2" location="Obsah!A1" display="Obsah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W19"/>
  <sheetViews>
    <sheetView showGridLines="0" tabSelected="1" workbookViewId="0">
      <selection activeCell="B1" sqref="B1"/>
    </sheetView>
  </sheetViews>
  <sheetFormatPr defaultColWidth="11.44140625" defaultRowHeight="13.2" x14ac:dyDescent="0.25"/>
  <cols>
    <col min="1" max="1" width="10" style="1" bestFit="1" customWidth="1"/>
    <col min="2" max="2" width="6.88671875" style="1" customWidth="1"/>
    <col min="3" max="3" width="3.33203125" style="1" bestFit="1" customWidth="1"/>
    <col min="4" max="9" width="4.44140625" style="1" bestFit="1" customWidth="1"/>
    <col min="10" max="11" width="5.5546875" style="1" bestFit="1" customWidth="1"/>
    <col min="12" max="12" width="5.5546875" customWidth="1"/>
    <col min="13" max="13" width="8" style="1" bestFit="1" customWidth="1"/>
    <col min="14" max="14" width="11.109375" style="1" bestFit="1" customWidth="1"/>
    <col min="15" max="15" width="10" style="1" bestFit="1" customWidth="1"/>
    <col min="16" max="16" width="8.109375" style="1" bestFit="1" customWidth="1"/>
    <col min="17" max="21" width="4.44140625" style="1" bestFit="1" customWidth="1"/>
    <col min="22" max="23" width="5.5546875" style="1" bestFit="1" customWidth="1"/>
    <col min="24" max="16384" width="11.44140625" style="1"/>
  </cols>
  <sheetData>
    <row r="1" spans="1:23" x14ac:dyDescent="0.25">
      <c r="A1" s="159" t="s">
        <v>364</v>
      </c>
      <c r="B1" s="293" t="s">
        <v>363</v>
      </c>
    </row>
    <row r="2" spans="1:23" x14ac:dyDescent="0.25">
      <c r="A2" s="159" t="s">
        <v>365</v>
      </c>
      <c r="B2" s="293">
        <v>15</v>
      </c>
    </row>
    <row r="4" spans="1:23" x14ac:dyDescent="0.25">
      <c r="A4" s="159" t="s">
        <v>14</v>
      </c>
      <c r="B4" s="12">
        <f>INDEX(tarif,MATCH(B1,kategorie,0),MATCH(B2,sazba,1))</f>
        <v>0</v>
      </c>
    </row>
    <row r="6" spans="1:23" ht="21" thickBot="1" x14ac:dyDescent="0.4">
      <c r="B6" s="186" t="s">
        <v>365</v>
      </c>
      <c r="M6"/>
      <c r="N6"/>
      <c r="O6"/>
      <c r="P6" s="294" t="s">
        <v>246</v>
      </c>
      <c r="Q6"/>
      <c r="R6"/>
      <c r="S6"/>
      <c r="T6"/>
      <c r="U6"/>
      <c r="V6"/>
      <c r="W6"/>
    </row>
    <row r="7" spans="1:23" ht="13.8" thickBot="1" x14ac:dyDescent="0.3">
      <c r="A7" s="186" t="s">
        <v>364</v>
      </c>
      <c r="B7" s="218">
        <v>1</v>
      </c>
      <c r="C7" s="219">
        <v>5</v>
      </c>
      <c r="D7" s="219">
        <v>8</v>
      </c>
      <c r="E7" s="219">
        <v>10</v>
      </c>
      <c r="F7" s="219">
        <v>12</v>
      </c>
      <c r="G7" s="219">
        <v>15</v>
      </c>
      <c r="H7" s="219">
        <v>17</v>
      </c>
      <c r="I7" s="219">
        <v>19</v>
      </c>
      <c r="J7" s="219">
        <v>21</v>
      </c>
      <c r="K7" s="220">
        <v>23</v>
      </c>
      <c r="M7"/>
      <c r="N7"/>
      <c r="O7"/>
      <c r="P7"/>
      <c r="Q7"/>
      <c r="R7"/>
      <c r="S7"/>
      <c r="T7"/>
      <c r="U7"/>
      <c r="V7"/>
      <c r="W7"/>
    </row>
    <row r="8" spans="1:23" x14ac:dyDescent="0.25">
      <c r="A8" s="224" t="s">
        <v>67</v>
      </c>
      <c r="B8" s="40">
        <v>40</v>
      </c>
      <c r="C8" s="32">
        <v>74</v>
      </c>
      <c r="D8" s="32">
        <v>75</v>
      </c>
      <c r="E8" s="32">
        <v>208</v>
      </c>
      <c r="F8" s="32">
        <v>368</v>
      </c>
      <c r="G8" s="32">
        <v>450</v>
      </c>
      <c r="H8" s="32">
        <v>552</v>
      </c>
      <c r="I8" s="32">
        <v>826</v>
      </c>
      <c r="J8" s="32">
        <v>1240</v>
      </c>
      <c r="K8" s="33">
        <v>1862</v>
      </c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25" t="s">
        <v>68</v>
      </c>
      <c r="B9" s="41">
        <v>46</v>
      </c>
      <c r="C9" s="2">
        <v>86</v>
      </c>
      <c r="D9" s="2">
        <v>204</v>
      </c>
      <c r="E9" s="2"/>
      <c r="F9" s="2"/>
      <c r="G9" s="2"/>
      <c r="H9" s="2"/>
      <c r="I9" s="2"/>
      <c r="J9" s="2"/>
      <c r="K9" s="34"/>
      <c r="M9"/>
      <c r="N9"/>
      <c r="O9"/>
      <c r="P9"/>
      <c r="Q9"/>
      <c r="R9"/>
      <c r="S9"/>
      <c r="T9"/>
      <c r="U9"/>
      <c r="V9"/>
      <c r="W9"/>
    </row>
    <row r="10" spans="1:23" x14ac:dyDescent="0.25">
      <c r="A10" s="225" t="s">
        <v>66</v>
      </c>
      <c r="B10" s="41">
        <v>22</v>
      </c>
      <c r="C10" s="2">
        <v>44</v>
      </c>
      <c r="D10" s="2">
        <v>100</v>
      </c>
      <c r="E10" s="2">
        <v>124</v>
      </c>
      <c r="F10" s="2">
        <v>220</v>
      </c>
      <c r="G10" s="2"/>
      <c r="H10" s="2"/>
      <c r="I10" s="2"/>
      <c r="J10" s="2"/>
      <c r="K10" s="34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221" t="str">
        <f>"59"</f>
        <v>59</v>
      </c>
      <c r="B11" s="41">
        <v>52</v>
      </c>
      <c r="C11" s="2">
        <v>98</v>
      </c>
      <c r="D11" s="2">
        <v>244</v>
      </c>
      <c r="E11" s="2">
        <v>286</v>
      </c>
      <c r="F11" s="2">
        <v>100</v>
      </c>
      <c r="G11" s="2"/>
      <c r="H11" s="2"/>
      <c r="I11" s="2"/>
      <c r="J11" s="2"/>
      <c r="K11" s="34"/>
      <c r="M11"/>
      <c r="N11"/>
      <c r="O11"/>
      <c r="P11"/>
      <c r="Q11"/>
      <c r="R11"/>
      <c r="S11"/>
      <c r="T11"/>
      <c r="U11"/>
      <c r="V11"/>
      <c r="W11"/>
    </row>
    <row r="12" spans="1:23" x14ac:dyDescent="0.25">
      <c r="A12" s="221" t="str">
        <f>"62"</f>
        <v>62</v>
      </c>
      <c r="B12" s="41">
        <v>38</v>
      </c>
      <c r="C12" s="2">
        <v>70</v>
      </c>
      <c r="D12" s="2">
        <v>176</v>
      </c>
      <c r="E12" s="2">
        <v>206</v>
      </c>
      <c r="F12" s="2"/>
      <c r="G12" s="2"/>
      <c r="H12" s="2"/>
      <c r="I12" s="2"/>
      <c r="J12" s="2"/>
      <c r="K12" s="34"/>
      <c r="M12"/>
      <c r="N12"/>
      <c r="O12"/>
      <c r="P12"/>
      <c r="Q12"/>
      <c r="R12"/>
      <c r="S12"/>
      <c r="T12"/>
      <c r="U12"/>
      <c r="V12"/>
      <c r="W12"/>
    </row>
    <row r="13" spans="1:23" ht="13.8" thickBot="1" x14ac:dyDescent="0.3">
      <c r="A13" s="222" t="str">
        <f>"80"</f>
        <v>80</v>
      </c>
      <c r="B13" s="42">
        <v>42</v>
      </c>
      <c r="C13" s="35">
        <v>80</v>
      </c>
      <c r="D13" s="35">
        <v>192</v>
      </c>
      <c r="E13" s="35">
        <v>224</v>
      </c>
      <c r="F13" s="35">
        <v>398</v>
      </c>
      <c r="G13" s="35"/>
      <c r="H13" s="35"/>
      <c r="I13" s="35"/>
      <c r="J13" s="35"/>
      <c r="K13" s="36"/>
      <c r="M13"/>
      <c r="N13" s="155"/>
      <c r="O13" s="155"/>
      <c r="P13"/>
      <c r="Q13"/>
      <c r="R13"/>
      <c r="S13"/>
      <c r="T13"/>
      <c r="U13"/>
      <c r="V13"/>
      <c r="W13"/>
    </row>
    <row r="14" spans="1:23" x14ac:dyDescent="0.25">
      <c r="M14"/>
      <c r="N14" s="155"/>
      <c r="O14" s="155"/>
      <c r="P14"/>
      <c r="Q14"/>
      <c r="R14"/>
      <c r="S14"/>
      <c r="T14"/>
      <c r="U14"/>
      <c r="V14"/>
      <c r="W14"/>
    </row>
    <row r="15" spans="1:23" x14ac:dyDescent="0.25">
      <c r="O15" s="145"/>
      <c r="P15" s="145"/>
      <c r="Q15" s="117"/>
      <c r="R15" s="117"/>
      <c r="S15" s="117"/>
      <c r="T15" s="117"/>
      <c r="U15" s="117"/>
      <c r="V15" s="117"/>
      <c r="W15" s="117"/>
    </row>
    <row r="16" spans="1:23" x14ac:dyDescent="0.25">
      <c r="O16" s="145"/>
      <c r="P16" s="145"/>
      <c r="Q16" s="117"/>
      <c r="R16" s="117"/>
      <c r="S16" s="117"/>
      <c r="T16" s="117"/>
      <c r="U16" s="117"/>
      <c r="V16" s="117"/>
      <c r="W16" s="117"/>
    </row>
    <row r="17" spans="14:23" x14ac:dyDescent="0.25">
      <c r="O17" s="145"/>
      <c r="P17" s="145"/>
      <c r="Q17" s="117"/>
      <c r="R17" s="117"/>
      <c r="S17" s="117"/>
      <c r="T17" s="117"/>
      <c r="U17" s="117"/>
      <c r="V17" s="117"/>
      <c r="W17" s="117"/>
    </row>
    <row r="19" spans="14:23" x14ac:dyDescent="0.25">
      <c r="N19" s="150"/>
      <c r="O19" s="150"/>
    </row>
  </sheetData>
  <phoneticPr fontId="0" type="noConversion"/>
  <conditionalFormatting sqref="A8:A13">
    <cfRule type="expression" dxfId="15" priority="1" stopIfTrue="1">
      <formula>$B$1=$A8</formula>
    </cfRule>
  </conditionalFormatting>
  <conditionalFormatting sqref="B7:K13">
    <cfRule type="expression" dxfId="14" priority="2" stopIfTrue="1">
      <formula>$B$1=$A7</formula>
    </cfRule>
    <cfRule type="expression" dxfId="13" priority="3" stopIfTrue="1">
      <formula>B$7=$B$2</formula>
    </cfRule>
  </conditionalFormatting>
  <dataValidations count="2">
    <dataValidation type="list" allowBlank="1" showInputMessage="1" showErrorMessage="1" sqref="B1">
      <formula1>$A$8:$A$13</formula1>
    </dataValidation>
    <dataValidation type="list" allowBlank="1" showInputMessage="1" showErrorMessage="1" sqref="B2">
      <formula1>$B$7:$K$7</formula1>
    </dataValidation>
  </dataValidations>
  <hyperlinks>
    <hyperlink ref="P6" location="Obsah!A1" display="Obsah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N74"/>
  <sheetViews>
    <sheetView showGridLines="0" workbookViewId="0">
      <selection activeCell="F32" sqref="F32"/>
    </sheetView>
  </sheetViews>
  <sheetFormatPr defaultColWidth="12.5546875" defaultRowHeight="11.4" x14ac:dyDescent="0.2"/>
  <cols>
    <col min="1" max="1" width="4.109375" style="52" customWidth="1"/>
    <col min="2" max="2" width="4.88671875" style="52" customWidth="1"/>
    <col min="3" max="3" width="20.6640625" style="52" customWidth="1"/>
    <col min="4" max="6" width="12.5546875" style="52" customWidth="1"/>
    <col min="7" max="7" width="7.88671875" style="52" customWidth="1"/>
    <col min="8" max="8" width="11" style="52" customWidth="1"/>
    <col min="9" max="9" width="9.109375" style="52" bestFit="1" customWidth="1"/>
    <col min="10" max="10" width="15.88671875" style="52" bestFit="1" customWidth="1"/>
    <col min="11" max="11" width="9.109375" style="52" bestFit="1" customWidth="1"/>
    <col min="12" max="12" width="18.88671875" style="52" bestFit="1" customWidth="1"/>
    <col min="13" max="13" width="9.44140625" style="52" bestFit="1" customWidth="1"/>
    <col min="14" max="14" width="10.88671875" style="52" bestFit="1" customWidth="1"/>
    <col min="15" max="16384" width="12.5546875" style="52"/>
  </cols>
  <sheetData>
    <row r="1" spans="2:14" ht="12" thickBot="1" x14ac:dyDescent="0.25"/>
    <row r="2" spans="2:14" x14ac:dyDescent="0.2">
      <c r="B2" s="53"/>
      <c r="C2" s="67" t="s">
        <v>214</v>
      </c>
      <c r="D2" s="67" t="s">
        <v>88</v>
      </c>
      <c r="E2" s="54"/>
      <c r="F2" s="55"/>
    </row>
    <row r="3" spans="2:14" x14ac:dyDescent="0.2">
      <c r="B3" s="56"/>
      <c r="C3" s="57" t="s">
        <v>97</v>
      </c>
      <c r="D3" s="57" t="s">
        <v>34</v>
      </c>
      <c r="E3" s="58"/>
      <c r="F3" s="59"/>
    </row>
    <row r="4" spans="2:14" x14ac:dyDescent="0.2">
      <c r="B4" s="56"/>
      <c r="C4" s="58"/>
      <c r="D4" s="58"/>
      <c r="E4" s="58"/>
      <c r="F4" s="59"/>
    </row>
    <row r="5" spans="2:14" x14ac:dyDescent="0.2">
      <c r="B5" s="56"/>
      <c r="C5" s="60" t="str">
        <f>INDEX(BASE,MATCH($C$3&amp;$D$3,PRIJMENI_JMENO,0),4)</f>
        <v>Pan</v>
      </c>
      <c r="D5" s="58"/>
      <c r="E5" s="58"/>
      <c r="F5" s="59"/>
    </row>
    <row r="6" spans="2:14" x14ac:dyDescent="0.2">
      <c r="B6" s="56"/>
      <c r="C6" s="60" t="str">
        <f>INDEX(BASE,MATCH($C$3&amp;$D$3,PRIJMENI_JMENO,0),5)</f>
        <v>13,rue Nobel</v>
      </c>
      <c r="D6" s="58"/>
      <c r="E6" s="58"/>
      <c r="F6" s="59"/>
    </row>
    <row r="7" spans="2:14" x14ac:dyDescent="0.2">
      <c r="B7" s="56"/>
      <c r="C7" s="60" t="str">
        <f>INDEX(BASE,MATCH($C$3&amp;$D$3,PRIJMENI_JMENO,0),6)</f>
        <v>Paris</v>
      </c>
      <c r="D7" s="58"/>
      <c r="E7" s="58"/>
      <c r="F7" s="59"/>
    </row>
    <row r="8" spans="2:14" x14ac:dyDescent="0.2">
      <c r="B8" s="56"/>
      <c r="D8" s="58"/>
      <c r="E8" s="58"/>
      <c r="F8" s="59"/>
      <c r="H8" s="151" t="s">
        <v>214</v>
      </c>
      <c r="I8" s="151" t="s">
        <v>88</v>
      </c>
      <c r="J8" s="151" t="s">
        <v>215</v>
      </c>
      <c r="K8" s="152" t="s">
        <v>89</v>
      </c>
      <c r="L8" s="152" t="s">
        <v>90</v>
      </c>
      <c r="M8" s="152" t="s">
        <v>91</v>
      </c>
      <c r="N8" s="152" t="s">
        <v>92</v>
      </c>
    </row>
    <row r="9" spans="2:14" x14ac:dyDescent="0.2">
      <c r="B9" s="56"/>
      <c r="D9" s="58"/>
      <c r="E9" s="58"/>
      <c r="F9" s="59"/>
      <c r="H9" s="23" t="s">
        <v>97</v>
      </c>
      <c r="I9" s="61" t="s">
        <v>196</v>
      </c>
      <c r="J9" s="156" t="str">
        <f>H9&amp;I9</f>
        <v>ČernýJan</v>
      </c>
      <c r="K9" s="24" t="s">
        <v>93</v>
      </c>
      <c r="L9" s="62" t="s">
        <v>15</v>
      </c>
      <c r="M9" s="62" t="s">
        <v>16</v>
      </c>
      <c r="N9" s="63">
        <v>92100</v>
      </c>
    </row>
    <row r="10" spans="2:14" x14ac:dyDescent="0.2">
      <c r="B10" s="56"/>
      <c r="C10" s="58"/>
      <c r="D10" s="58"/>
      <c r="E10" s="58"/>
      <c r="F10" s="59"/>
      <c r="H10" s="23" t="s">
        <v>97</v>
      </c>
      <c r="I10" s="61" t="s">
        <v>212</v>
      </c>
      <c r="J10" s="156" t="str">
        <f t="shared" ref="J10:J28" si="0">H10&amp;I10</f>
        <v>ČernýMilan</v>
      </c>
      <c r="K10" s="24" t="s">
        <v>93</v>
      </c>
      <c r="L10" s="62" t="s">
        <v>17</v>
      </c>
      <c r="M10" s="62" t="s">
        <v>18</v>
      </c>
      <c r="N10" s="63">
        <v>75008</v>
      </c>
    </row>
    <row r="11" spans="2:14" x14ac:dyDescent="0.2">
      <c r="B11" s="56"/>
      <c r="C11" s="58"/>
      <c r="D11" s="58"/>
      <c r="E11" s="58"/>
      <c r="F11" s="59"/>
      <c r="H11" s="23" t="s">
        <v>99</v>
      </c>
      <c r="I11" s="61" t="s">
        <v>198</v>
      </c>
      <c r="J11" s="156" t="str">
        <f t="shared" si="0"/>
        <v>JaníkPetr</v>
      </c>
      <c r="K11" s="24" t="s">
        <v>93</v>
      </c>
      <c r="L11" s="62" t="s">
        <v>19</v>
      </c>
      <c r="M11" s="62" t="s">
        <v>20</v>
      </c>
      <c r="N11" s="63">
        <v>92100</v>
      </c>
    </row>
    <row r="12" spans="2:14" x14ac:dyDescent="0.2">
      <c r="B12" s="56"/>
      <c r="C12" s="58"/>
      <c r="D12" s="58"/>
      <c r="E12" s="58"/>
      <c r="F12" s="59"/>
      <c r="H12" s="23" t="s">
        <v>100</v>
      </c>
      <c r="I12" s="61" t="s">
        <v>199</v>
      </c>
      <c r="J12" s="156" t="str">
        <f t="shared" si="0"/>
        <v>JaníkováLeona</v>
      </c>
      <c r="K12" s="24" t="s">
        <v>94</v>
      </c>
      <c r="L12" s="62" t="s">
        <v>21</v>
      </c>
      <c r="M12" s="62" t="s">
        <v>22</v>
      </c>
      <c r="N12" s="63">
        <v>78180</v>
      </c>
    </row>
    <row r="13" spans="2:14" x14ac:dyDescent="0.2">
      <c r="B13" s="56"/>
      <c r="C13" s="58" t="str">
        <f>IF(VLOOKUP($C$3&amp;$D$3,$J$9:$K$28,2,FALSE)="Pan","Vážený pane…","Vážená paní…")</f>
        <v>Vážený pane…</v>
      </c>
      <c r="D13" s="58"/>
      <c r="E13" s="58"/>
      <c r="F13" s="59"/>
      <c r="H13" s="23" t="s">
        <v>101</v>
      </c>
      <c r="I13" s="61" t="s">
        <v>200</v>
      </c>
      <c r="J13" s="156" t="str">
        <f t="shared" si="0"/>
        <v>HrdáEva</v>
      </c>
      <c r="K13" s="24" t="s">
        <v>94</v>
      </c>
      <c r="L13" s="62" t="s">
        <v>24</v>
      </c>
      <c r="M13" s="62" t="s">
        <v>16</v>
      </c>
      <c r="N13" s="63">
        <v>78180</v>
      </c>
    </row>
    <row r="14" spans="2:14" x14ac:dyDescent="0.2">
      <c r="B14" s="56"/>
      <c r="C14" s="58"/>
      <c r="D14" s="58"/>
      <c r="E14" s="58"/>
      <c r="F14" s="59"/>
      <c r="H14" s="23" t="s">
        <v>97</v>
      </c>
      <c r="I14" s="61" t="s">
        <v>34</v>
      </c>
      <c r="J14" s="156" t="str">
        <f t="shared" si="0"/>
        <v>ČernýMartin</v>
      </c>
      <c r="K14" s="24" t="s">
        <v>93</v>
      </c>
      <c r="L14" s="62" t="s">
        <v>19</v>
      </c>
      <c r="M14" s="62" t="s">
        <v>18</v>
      </c>
      <c r="N14" s="63">
        <v>92100</v>
      </c>
    </row>
    <row r="15" spans="2:14" x14ac:dyDescent="0.2">
      <c r="B15" s="56"/>
      <c r="C15" s="58"/>
      <c r="D15" s="58"/>
      <c r="E15" s="58"/>
      <c r="F15" s="59"/>
      <c r="H15" s="23" t="s">
        <v>103</v>
      </c>
      <c r="I15" s="61" t="s">
        <v>201</v>
      </c>
      <c r="J15" s="156" t="str">
        <f t="shared" si="0"/>
        <v>JonášováHana</v>
      </c>
      <c r="K15" s="24" t="s">
        <v>94</v>
      </c>
      <c r="L15" s="62" t="s">
        <v>15</v>
      </c>
      <c r="M15" s="62" t="s">
        <v>18</v>
      </c>
      <c r="N15" s="63">
        <v>75008</v>
      </c>
    </row>
    <row r="16" spans="2:14" x14ac:dyDescent="0.2">
      <c r="B16" s="56"/>
      <c r="C16" s="58"/>
      <c r="D16" s="58"/>
      <c r="E16" s="58"/>
      <c r="F16" s="59"/>
      <c r="H16" s="23" t="s">
        <v>104</v>
      </c>
      <c r="I16" s="61" t="s">
        <v>198</v>
      </c>
      <c r="J16" s="156" t="str">
        <f t="shared" si="0"/>
        <v>MacekPetr</v>
      </c>
      <c r="K16" s="24" t="s">
        <v>93</v>
      </c>
      <c r="L16" s="62" t="s">
        <v>17</v>
      </c>
      <c r="M16" s="62" t="s">
        <v>25</v>
      </c>
      <c r="N16" s="63">
        <v>92100</v>
      </c>
    </row>
    <row r="17" spans="2:14" x14ac:dyDescent="0.2">
      <c r="B17" s="56"/>
      <c r="C17" s="58"/>
      <c r="D17" s="58"/>
      <c r="E17" s="58"/>
      <c r="F17" s="59"/>
      <c r="H17" s="23" t="s">
        <v>105</v>
      </c>
      <c r="I17" s="61" t="s">
        <v>202</v>
      </c>
      <c r="J17" s="156" t="str">
        <f t="shared" si="0"/>
        <v>BerkaJiří</v>
      </c>
      <c r="K17" s="24" t="s">
        <v>93</v>
      </c>
      <c r="L17" s="62" t="s">
        <v>19</v>
      </c>
      <c r="M17" s="62" t="s">
        <v>26</v>
      </c>
      <c r="N17" s="63">
        <v>78180</v>
      </c>
    </row>
    <row r="18" spans="2:14" x14ac:dyDescent="0.2">
      <c r="B18" s="56"/>
      <c r="C18" s="58"/>
      <c r="D18" s="58"/>
      <c r="E18" s="58"/>
      <c r="F18" s="59"/>
      <c r="H18" s="23" t="s">
        <v>116</v>
      </c>
      <c r="I18" s="61" t="s">
        <v>213</v>
      </c>
      <c r="J18" s="156" t="str">
        <f t="shared" si="0"/>
        <v>LipanLukáš</v>
      </c>
      <c r="K18" s="24" t="s">
        <v>93</v>
      </c>
      <c r="L18" s="62" t="s">
        <v>15</v>
      </c>
      <c r="M18" s="62" t="s">
        <v>18</v>
      </c>
      <c r="N18" s="63">
        <v>78180</v>
      </c>
    </row>
    <row r="19" spans="2:14" x14ac:dyDescent="0.2">
      <c r="B19" s="56"/>
      <c r="C19" s="58"/>
      <c r="D19" s="58"/>
      <c r="E19" s="58"/>
      <c r="F19" s="59"/>
      <c r="H19" s="23" t="s">
        <v>107</v>
      </c>
      <c r="I19" s="61" t="s">
        <v>197</v>
      </c>
      <c r="J19" s="156" t="str">
        <f t="shared" si="0"/>
        <v>KopečnáJana</v>
      </c>
      <c r="K19" s="24" t="s">
        <v>94</v>
      </c>
      <c r="L19" s="62" t="s">
        <v>17</v>
      </c>
      <c r="M19" s="62" t="s">
        <v>22</v>
      </c>
      <c r="N19" s="63">
        <v>92100</v>
      </c>
    </row>
    <row r="20" spans="2:14" x14ac:dyDescent="0.2">
      <c r="B20" s="56"/>
      <c r="C20" s="58"/>
      <c r="D20" s="58"/>
      <c r="E20" s="58"/>
      <c r="F20" s="59"/>
      <c r="H20" s="23" t="s">
        <v>108</v>
      </c>
      <c r="I20" s="61" t="s">
        <v>204</v>
      </c>
      <c r="J20" s="156" t="str">
        <f t="shared" si="0"/>
        <v>BerkováJitka</v>
      </c>
      <c r="K20" s="24" t="s">
        <v>94</v>
      </c>
      <c r="L20" s="62" t="s">
        <v>19</v>
      </c>
      <c r="M20" s="62" t="s">
        <v>16</v>
      </c>
      <c r="N20" s="63">
        <v>75008</v>
      </c>
    </row>
    <row r="21" spans="2:14" x14ac:dyDescent="0.2">
      <c r="B21" s="56"/>
      <c r="C21" s="58"/>
      <c r="D21" s="58"/>
      <c r="E21" s="58"/>
      <c r="F21" s="59"/>
      <c r="H21" s="23" t="s">
        <v>109</v>
      </c>
      <c r="I21" s="61" t="s">
        <v>205</v>
      </c>
      <c r="J21" s="156" t="str">
        <f t="shared" si="0"/>
        <v>MaláMartina</v>
      </c>
      <c r="K21" s="24" t="s">
        <v>94</v>
      </c>
      <c r="L21" s="62" t="s">
        <v>15</v>
      </c>
      <c r="M21" s="62" t="s">
        <v>20</v>
      </c>
      <c r="N21" s="63">
        <v>92100</v>
      </c>
    </row>
    <row r="22" spans="2:14" x14ac:dyDescent="0.2">
      <c r="B22" s="56"/>
      <c r="C22" s="58"/>
      <c r="D22" s="58"/>
      <c r="E22" s="58"/>
      <c r="F22" s="59"/>
      <c r="H22" s="23" t="s">
        <v>103</v>
      </c>
      <c r="I22" s="61" t="s">
        <v>211</v>
      </c>
      <c r="J22" s="156" t="str">
        <f t="shared" si="0"/>
        <v>JonášováMonika</v>
      </c>
      <c r="K22" s="24" t="s">
        <v>94</v>
      </c>
      <c r="L22" s="62" t="s">
        <v>17</v>
      </c>
      <c r="M22" s="62" t="s">
        <v>16</v>
      </c>
      <c r="N22" s="63">
        <v>78180</v>
      </c>
    </row>
    <row r="23" spans="2:14" x14ac:dyDescent="0.2">
      <c r="B23" s="56"/>
      <c r="D23" s="58"/>
      <c r="E23" s="58"/>
      <c r="F23" s="59"/>
      <c r="H23" s="23" t="s">
        <v>111</v>
      </c>
      <c r="I23" s="61" t="s">
        <v>207</v>
      </c>
      <c r="J23" s="156" t="str">
        <f t="shared" si="0"/>
        <v>HatlováSylva</v>
      </c>
      <c r="K23" s="24" t="s">
        <v>94</v>
      </c>
      <c r="L23" s="62" t="s">
        <v>19</v>
      </c>
      <c r="M23" s="62" t="s">
        <v>22</v>
      </c>
      <c r="N23" s="63">
        <v>78180</v>
      </c>
    </row>
    <row r="24" spans="2:14" x14ac:dyDescent="0.2">
      <c r="B24" s="56"/>
      <c r="C24" s="58"/>
      <c r="D24" s="58"/>
      <c r="E24" s="58"/>
      <c r="F24" s="59"/>
      <c r="H24" s="23" t="s">
        <v>112</v>
      </c>
      <c r="I24" s="61" t="s">
        <v>206</v>
      </c>
      <c r="J24" s="156" t="str">
        <f t="shared" si="0"/>
        <v>OttováHelena</v>
      </c>
      <c r="K24" s="24" t="s">
        <v>94</v>
      </c>
      <c r="L24" s="62" t="s">
        <v>15</v>
      </c>
      <c r="M24" s="62" t="s">
        <v>18</v>
      </c>
      <c r="N24" s="63">
        <v>92100</v>
      </c>
    </row>
    <row r="25" spans="2:14" ht="12.6" x14ac:dyDescent="0.2">
      <c r="B25" s="56"/>
      <c r="C25" s="58"/>
      <c r="D25" s="58"/>
      <c r="E25" s="19" t="s">
        <v>95</v>
      </c>
      <c r="F25" s="59"/>
      <c r="H25" s="23" t="s">
        <v>107</v>
      </c>
      <c r="I25" s="61" t="s">
        <v>208</v>
      </c>
      <c r="J25" s="156" t="str">
        <f t="shared" si="0"/>
        <v>KopečnáOlga</v>
      </c>
      <c r="K25" s="24" t="s">
        <v>94</v>
      </c>
      <c r="L25" s="62" t="s">
        <v>17</v>
      </c>
      <c r="M25" s="62" t="s">
        <v>25</v>
      </c>
      <c r="N25" s="63">
        <v>75008</v>
      </c>
    </row>
    <row r="26" spans="2:14" ht="12.6" x14ac:dyDescent="0.2">
      <c r="B26" s="56"/>
      <c r="C26" s="58"/>
      <c r="D26" s="58"/>
      <c r="E26" s="19"/>
      <c r="F26" s="59"/>
      <c r="H26" s="23" t="s">
        <v>114</v>
      </c>
      <c r="I26" s="61" t="s">
        <v>209</v>
      </c>
      <c r="J26" s="156" t="str">
        <f t="shared" si="0"/>
        <v>RacekVáclav</v>
      </c>
      <c r="K26" s="24" t="s">
        <v>93</v>
      </c>
      <c r="L26" s="62" t="s">
        <v>19</v>
      </c>
      <c r="M26" s="62" t="s">
        <v>20</v>
      </c>
      <c r="N26" s="63">
        <v>92100</v>
      </c>
    </row>
    <row r="27" spans="2:14" ht="12.6" x14ac:dyDescent="0.2">
      <c r="B27" s="56"/>
      <c r="C27" s="58"/>
      <c r="E27" s="19" t="s">
        <v>96</v>
      </c>
      <c r="F27" s="59"/>
      <c r="H27" s="23" t="s">
        <v>115</v>
      </c>
      <c r="I27" s="61" t="s">
        <v>210</v>
      </c>
      <c r="J27" s="156" t="str">
        <f t="shared" si="0"/>
        <v>LeškováKamila</v>
      </c>
      <c r="K27" s="24" t="s">
        <v>94</v>
      </c>
      <c r="L27" s="62" t="s">
        <v>15</v>
      </c>
      <c r="M27" s="62" t="s">
        <v>18</v>
      </c>
      <c r="N27" s="63">
        <v>78180</v>
      </c>
    </row>
    <row r="28" spans="2:14" ht="12" thickBot="1" x14ac:dyDescent="0.25">
      <c r="B28" s="64"/>
      <c r="C28" s="65"/>
      <c r="D28" s="65"/>
      <c r="E28" s="65"/>
      <c r="F28" s="66"/>
      <c r="H28" s="23" t="s">
        <v>116</v>
      </c>
      <c r="I28" s="61" t="s">
        <v>203</v>
      </c>
      <c r="J28" s="156" t="str">
        <f t="shared" si="0"/>
        <v>LipanPavel</v>
      </c>
      <c r="K28" s="24" t="s">
        <v>93</v>
      </c>
      <c r="L28" s="62" t="s">
        <v>17</v>
      </c>
      <c r="M28" s="62" t="s">
        <v>26</v>
      </c>
      <c r="N28" s="63">
        <v>78180</v>
      </c>
    </row>
    <row r="31" spans="2:14" ht="13.2" x14ac:dyDescent="0.25">
      <c r="H31" s="155" t="s">
        <v>216</v>
      </c>
      <c r="J31" s="153" t="s">
        <v>257</v>
      </c>
    </row>
    <row r="32" spans="2:14" x14ac:dyDescent="0.2">
      <c r="B32" s="50"/>
      <c r="F32" s="50" t="s">
        <v>246</v>
      </c>
      <c r="H32" s="153" t="s">
        <v>217</v>
      </c>
      <c r="J32" s="153" t="s">
        <v>258</v>
      </c>
      <c r="K32" s="70"/>
    </row>
    <row r="33" spans="3:12" ht="13.2" x14ac:dyDescent="0.25">
      <c r="H33" s="155"/>
      <c r="I33" s="155"/>
      <c r="J33"/>
    </row>
    <row r="34" spans="3:12" ht="13.2" x14ac:dyDescent="0.25">
      <c r="G34"/>
      <c r="H34" s="153"/>
      <c r="I34" s="153"/>
      <c r="K34"/>
      <c r="L34"/>
    </row>
    <row r="35" spans="3:12" ht="13.2" x14ac:dyDescent="0.25">
      <c r="C35"/>
      <c r="D35"/>
      <c r="G35"/>
      <c r="H35" s="153"/>
      <c r="I35" s="153"/>
      <c r="K35"/>
      <c r="L35"/>
    </row>
    <row r="36" spans="3:12" ht="13.2" x14ac:dyDescent="0.25">
      <c r="C36"/>
      <c r="D36"/>
      <c r="G36"/>
      <c r="H36" s="153"/>
      <c r="I36" s="153"/>
      <c r="K36"/>
      <c r="L36"/>
    </row>
    <row r="37" spans="3:12" ht="13.2" x14ac:dyDescent="0.25">
      <c r="C37"/>
      <c r="D37"/>
      <c r="G37"/>
      <c r="H37" s="153"/>
      <c r="I37" s="153"/>
      <c r="K37"/>
      <c r="L37"/>
    </row>
    <row r="38" spans="3:12" ht="13.2" x14ac:dyDescent="0.25">
      <c r="C38"/>
      <c r="D38"/>
      <c r="G38"/>
      <c r="H38" s="153"/>
      <c r="I38" s="153"/>
      <c r="K38"/>
      <c r="L38"/>
    </row>
    <row r="39" spans="3:12" ht="13.2" x14ac:dyDescent="0.25">
      <c r="C39"/>
      <c r="D39"/>
      <c r="G39"/>
      <c r="H39" s="153"/>
      <c r="I39" s="153"/>
      <c r="K39"/>
      <c r="L39"/>
    </row>
    <row r="40" spans="3:12" ht="13.2" x14ac:dyDescent="0.25">
      <c r="C40"/>
      <c r="D40"/>
      <c r="G40"/>
      <c r="H40" s="153"/>
      <c r="I40" s="153"/>
      <c r="K40"/>
      <c r="L40"/>
    </row>
    <row r="41" spans="3:12" ht="13.2" x14ac:dyDescent="0.25">
      <c r="C41"/>
      <c r="D41"/>
      <c r="G41"/>
      <c r="H41" s="153"/>
      <c r="I41" s="153"/>
      <c r="K41"/>
      <c r="L41"/>
    </row>
    <row r="42" spans="3:12" ht="13.2" x14ac:dyDescent="0.25">
      <c r="C42"/>
      <c r="D42"/>
      <c r="G42"/>
      <c r="H42" s="153"/>
      <c r="I42" s="153"/>
      <c r="K42"/>
      <c r="L42"/>
    </row>
    <row r="43" spans="3:12" ht="13.2" x14ac:dyDescent="0.25">
      <c r="C43"/>
      <c r="D43"/>
      <c r="G43"/>
      <c r="H43" s="153"/>
      <c r="I43" s="153"/>
      <c r="K43"/>
      <c r="L43"/>
    </row>
    <row r="44" spans="3:12" ht="13.2" x14ac:dyDescent="0.25">
      <c r="C44"/>
      <c r="D44"/>
      <c r="G44"/>
      <c r="H44" s="153"/>
      <c r="I44" s="153"/>
      <c r="K44"/>
      <c r="L44"/>
    </row>
    <row r="45" spans="3:12" ht="13.2" x14ac:dyDescent="0.25">
      <c r="C45"/>
      <c r="D45"/>
      <c r="G45"/>
      <c r="H45" s="153"/>
      <c r="I45" s="153"/>
      <c r="K45"/>
      <c r="L45"/>
    </row>
    <row r="46" spans="3:12" ht="13.2" x14ac:dyDescent="0.25">
      <c r="C46"/>
      <c r="D46"/>
      <c r="G46"/>
      <c r="H46" s="153"/>
      <c r="I46" s="153"/>
      <c r="K46"/>
      <c r="L46"/>
    </row>
    <row r="47" spans="3:12" ht="13.2" x14ac:dyDescent="0.25">
      <c r="C47"/>
      <c r="D47"/>
      <c r="G47"/>
      <c r="H47" s="153"/>
      <c r="I47" s="153"/>
      <c r="K47"/>
      <c r="L47"/>
    </row>
    <row r="48" spans="3:12" ht="13.2" x14ac:dyDescent="0.25">
      <c r="C48"/>
      <c r="D48"/>
      <c r="G48"/>
      <c r="H48" s="153"/>
      <c r="I48" s="153"/>
      <c r="K48"/>
      <c r="L48"/>
    </row>
    <row r="49" spans="3:12" ht="13.2" x14ac:dyDescent="0.25">
      <c r="C49"/>
      <c r="D49"/>
      <c r="G49"/>
      <c r="H49" s="153"/>
      <c r="I49" s="153"/>
      <c r="K49"/>
      <c r="L49"/>
    </row>
    <row r="50" spans="3:12" ht="13.2" x14ac:dyDescent="0.25">
      <c r="C50"/>
      <c r="D50"/>
    </row>
    <row r="51" spans="3:12" ht="13.2" x14ac:dyDescent="0.25">
      <c r="C51"/>
      <c r="D51"/>
      <c r="H51" s="153"/>
      <c r="I51" s="153"/>
    </row>
    <row r="52" spans="3:12" ht="13.2" x14ac:dyDescent="0.25">
      <c r="C52"/>
      <c r="D52"/>
      <c r="H52" s="153"/>
      <c r="I52" s="153"/>
    </row>
    <row r="53" spans="3:12" ht="13.2" x14ac:dyDescent="0.25">
      <c r="C53"/>
      <c r="D53"/>
      <c r="H53" s="153"/>
      <c r="I53" s="153"/>
    </row>
    <row r="54" spans="3:12" ht="13.2" x14ac:dyDescent="0.25">
      <c r="C54"/>
      <c r="D54"/>
      <c r="H54" s="153"/>
      <c r="I54" s="153"/>
    </row>
    <row r="55" spans="3:12" ht="13.2" x14ac:dyDescent="0.25">
      <c r="C55"/>
      <c r="D55"/>
      <c r="H55" s="153"/>
      <c r="I55" s="153"/>
    </row>
    <row r="56" spans="3:12" ht="13.2" x14ac:dyDescent="0.25">
      <c r="C56"/>
      <c r="D56"/>
      <c r="H56" s="153"/>
      <c r="I56" s="153"/>
    </row>
    <row r="57" spans="3:12" ht="13.2" x14ac:dyDescent="0.25">
      <c r="C57"/>
      <c r="D57"/>
      <c r="H57" s="153"/>
      <c r="I57" s="153"/>
    </row>
    <row r="58" spans="3:12" ht="13.2" x14ac:dyDescent="0.25">
      <c r="C58"/>
      <c r="D58"/>
    </row>
    <row r="59" spans="3:12" ht="13.2" x14ac:dyDescent="0.25">
      <c r="C59"/>
      <c r="D59"/>
    </row>
    <row r="60" spans="3:12" ht="13.2" x14ac:dyDescent="0.25">
      <c r="C60"/>
      <c r="D60"/>
    </row>
    <row r="61" spans="3:12" ht="13.2" x14ac:dyDescent="0.25">
      <c r="C61"/>
      <c r="D61"/>
    </row>
    <row r="62" spans="3:12" ht="13.2" x14ac:dyDescent="0.25">
      <c r="C62"/>
      <c r="D62"/>
    </row>
    <row r="63" spans="3:12" ht="13.2" x14ac:dyDescent="0.25">
      <c r="C63"/>
      <c r="D63"/>
    </row>
    <row r="64" spans="3:12" ht="13.2" x14ac:dyDescent="0.25">
      <c r="C64"/>
      <c r="D64"/>
    </row>
    <row r="65" spans="3:4" ht="13.2" x14ac:dyDescent="0.25">
      <c r="C65"/>
      <c r="D65"/>
    </row>
    <row r="66" spans="3:4" ht="13.2" x14ac:dyDescent="0.25">
      <c r="C66"/>
      <c r="D66"/>
    </row>
    <row r="67" spans="3:4" ht="13.2" x14ac:dyDescent="0.25">
      <c r="C67"/>
      <c r="D67"/>
    </row>
    <row r="68" spans="3:4" ht="13.2" x14ac:dyDescent="0.25">
      <c r="C68"/>
      <c r="D68"/>
    </row>
    <row r="69" spans="3:4" ht="13.2" x14ac:dyDescent="0.25">
      <c r="C69"/>
      <c r="D69"/>
    </row>
    <row r="70" spans="3:4" ht="13.2" x14ac:dyDescent="0.25">
      <c r="C70"/>
      <c r="D70"/>
    </row>
    <row r="71" spans="3:4" ht="13.2" x14ac:dyDescent="0.25">
      <c r="C71"/>
      <c r="D71"/>
    </row>
    <row r="72" spans="3:4" ht="13.2" x14ac:dyDescent="0.25">
      <c r="C72"/>
      <c r="D72"/>
    </row>
    <row r="73" spans="3:4" ht="13.2" x14ac:dyDescent="0.25">
      <c r="C73"/>
      <c r="D73"/>
    </row>
    <row r="74" spans="3:4" ht="13.2" x14ac:dyDescent="0.25">
      <c r="C74"/>
      <c r="D74"/>
    </row>
  </sheetData>
  <phoneticPr fontId="14" type="noConversion"/>
  <conditionalFormatting sqref="H9:N28">
    <cfRule type="expression" dxfId="12" priority="1" stopIfTrue="1">
      <formula>AND($H9=$C$3,$I9=$D$3)</formula>
    </cfRule>
  </conditionalFormatting>
  <dataValidations count="2">
    <dataValidation type="list" allowBlank="1" showInputMessage="1" showErrorMessage="1" sqref="B2 C3">
      <formula1>$H$9:$H$28</formula1>
    </dataValidation>
    <dataValidation type="list" allowBlank="1" showInputMessage="1" showErrorMessage="1" sqref="D3">
      <formula1>$I$9:$I$28</formula1>
    </dataValidation>
  </dataValidations>
  <hyperlinks>
    <hyperlink ref="F32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M50"/>
  <sheetViews>
    <sheetView showGridLines="0" workbookViewId="0">
      <selection activeCell="E31" sqref="E31"/>
    </sheetView>
  </sheetViews>
  <sheetFormatPr defaultColWidth="12.5546875" defaultRowHeight="11.4" x14ac:dyDescent="0.2"/>
  <cols>
    <col min="1" max="1" width="4.109375" style="52" customWidth="1"/>
    <col min="2" max="2" width="4.88671875" style="52" customWidth="1"/>
    <col min="3" max="3" width="20.6640625" style="52" customWidth="1"/>
    <col min="4" max="6" width="12.5546875" style="52" customWidth="1"/>
    <col min="7" max="7" width="7.88671875" style="52" customWidth="1"/>
    <col min="8" max="8" width="10.44140625" style="52" bestFit="1" customWidth="1"/>
    <col min="9" max="9" width="12" style="52" bestFit="1" customWidth="1"/>
    <col min="10" max="10" width="9.109375" style="52" bestFit="1" customWidth="1"/>
    <col min="11" max="11" width="18.88671875" style="52" bestFit="1" customWidth="1"/>
    <col min="12" max="12" width="9.44140625" style="52" bestFit="1" customWidth="1"/>
    <col min="13" max="13" width="10.88671875" style="52" bestFit="1" customWidth="1"/>
    <col min="14" max="16384" width="12.5546875" style="52"/>
  </cols>
  <sheetData>
    <row r="1" spans="2:13" ht="12" thickBot="1" x14ac:dyDescent="0.25"/>
    <row r="2" spans="2:13" x14ac:dyDescent="0.2">
      <c r="B2" s="53"/>
      <c r="C2" s="67" t="s">
        <v>214</v>
      </c>
      <c r="D2" s="67" t="s">
        <v>88</v>
      </c>
      <c r="E2" s="54"/>
      <c r="F2" s="55"/>
    </row>
    <row r="3" spans="2:13" x14ac:dyDescent="0.2">
      <c r="B3" s="56"/>
      <c r="C3" s="57" t="s">
        <v>97</v>
      </c>
      <c r="D3" s="57" t="s">
        <v>212</v>
      </c>
      <c r="E3" s="58"/>
      <c r="F3" s="59"/>
    </row>
    <row r="4" spans="2:13" x14ac:dyDescent="0.2">
      <c r="B4" s="56"/>
      <c r="C4" s="58"/>
      <c r="D4" s="58"/>
      <c r="E4" s="58"/>
      <c r="F4" s="59"/>
    </row>
    <row r="5" spans="2:13" ht="12" x14ac:dyDescent="0.25">
      <c r="B5" s="56"/>
      <c r="C5" s="60" t="str">
        <f t="array" ref="C5">IF(ISNA(MATCH($C$3&amp;$D$3,prijmeni2&amp;jmeno2,0)),"Nenalezeno",INDEX(base,MATCH($C$3&amp;$D$3,prijmeni2&amp;jmeno2,0),3))</f>
        <v>Pan</v>
      </c>
      <c r="D5" s="58"/>
      <c r="E5" s="58"/>
      <c r="F5" s="59"/>
      <c r="L5" s="50"/>
      <c r="M5" s="73"/>
    </row>
    <row r="6" spans="2:13" x14ac:dyDescent="0.2">
      <c r="B6" s="56"/>
      <c r="C6" s="60" t="str">
        <f t="array" ref="C6">IF(ISNA(MATCH($C$3&amp;$D$3,prijmeni2&amp;jmeno2,0)),"Nenalezeno",INDEX(base,MATCH($C$3&amp;$D$3,prijmeni2&amp;jmeno2,0),4))</f>
        <v>14,rue de Milan</v>
      </c>
      <c r="D6" s="58"/>
      <c r="E6" s="58"/>
      <c r="F6" s="59"/>
    </row>
    <row r="7" spans="2:13" x14ac:dyDescent="0.2">
      <c r="B7" s="56"/>
      <c r="C7" s="60" t="str">
        <f t="array" ref="C7">IF(ISNA(MATCH($C$3&amp;$D$3,prijmeni2&amp;jmeno2,0)),"Nenalezeno",INDEX(base,MATCH($C$3&amp;$D$3,prijmeni2&amp;jmeno2,0),5))</f>
        <v>Paris</v>
      </c>
      <c r="D7" s="58"/>
      <c r="E7" s="58"/>
      <c r="F7" s="59"/>
    </row>
    <row r="8" spans="2:13" x14ac:dyDescent="0.2">
      <c r="B8" s="56"/>
      <c r="D8" s="58"/>
      <c r="E8" s="58"/>
      <c r="F8" s="59"/>
      <c r="H8" s="151" t="s">
        <v>214</v>
      </c>
      <c r="I8" s="151" t="s">
        <v>88</v>
      </c>
      <c r="J8" s="152" t="s">
        <v>89</v>
      </c>
      <c r="K8" s="152" t="s">
        <v>90</v>
      </c>
      <c r="L8" s="152" t="s">
        <v>91</v>
      </c>
      <c r="M8" s="152" t="s">
        <v>92</v>
      </c>
    </row>
    <row r="9" spans="2:13" x14ac:dyDescent="0.2">
      <c r="B9" s="56"/>
      <c r="D9" s="58"/>
      <c r="E9" s="58"/>
      <c r="F9" s="59"/>
      <c r="H9" s="23" t="s">
        <v>97</v>
      </c>
      <c r="I9" s="61" t="s">
        <v>196</v>
      </c>
      <c r="J9" s="24" t="s">
        <v>93</v>
      </c>
      <c r="K9" s="62" t="s">
        <v>15</v>
      </c>
      <c r="L9" s="62" t="s">
        <v>16</v>
      </c>
      <c r="M9" s="63">
        <v>92100</v>
      </c>
    </row>
    <row r="10" spans="2:13" x14ac:dyDescent="0.2">
      <c r="B10" s="56"/>
      <c r="C10" s="58"/>
      <c r="D10" s="58"/>
      <c r="E10" s="58"/>
      <c r="F10" s="59"/>
      <c r="H10" s="23" t="s">
        <v>97</v>
      </c>
      <c r="I10" s="61" t="s">
        <v>212</v>
      </c>
      <c r="J10" s="24" t="s">
        <v>93</v>
      </c>
      <c r="K10" s="62" t="s">
        <v>17</v>
      </c>
      <c r="L10" s="62" t="s">
        <v>18</v>
      </c>
      <c r="M10" s="63">
        <v>75008</v>
      </c>
    </row>
    <row r="11" spans="2:13" x14ac:dyDescent="0.2">
      <c r="B11" s="56"/>
      <c r="C11" s="58"/>
      <c r="D11" s="58"/>
      <c r="E11" s="58"/>
      <c r="F11" s="59"/>
      <c r="H11" s="23" t="s">
        <v>99</v>
      </c>
      <c r="I11" s="61" t="s">
        <v>198</v>
      </c>
      <c r="J11" s="24" t="s">
        <v>93</v>
      </c>
      <c r="K11" s="62" t="s">
        <v>19</v>
      </c>
      <c r="L11" s="62" t="s">
        <v>20</v>
      </c>
      <c r="M11" s="63">
        <v>92100</v>
      </c>
    </row>
    <row r="12" spans="2:13" x14ac:dyDescent="0.2">
      <c r="B12" s="56"/>
      <c r="C12" s="58"/>
      <c r="D12" s="58"/>
      <c r="E12" s="58"/>
      <c r="F12" s="59"/>
      <c r="H12" s="23" t="s">
        <v>100</v>
      </c>
      <c r="I12" s="61" t="s">
        <v>199</v>
      </c>
      <c r="J12" s="24" t="s">
        <v>94</v>
      </c>
      <c r="K12" s="62" t="s">
        <v>21</v>
      </c>
      <c r="L12" s="62" t="s">
        <v>22</v>
      </c>
      <c r="M12" s="63">
        <v>78180</v>
      </c>
    </row>
    <row r="13" spans="2:13" x14ac:dyDescent="0.2">
      <c r="B13" s="56"/>
      <c r="C13" s="58" t="s">
        <v>23</v>
      </c>
      <c r="D13" s="58"/>
      <c r="E13" s="58"/>
      <c r="F13" s="59"/>
      <c r="H13" s="23" t="s">
        <v>101</v>
      </c>
      <c r="I13" s="61" t="s">
        <v>200</v>
      </c>
      <c r="J13" s="24" t="s">
        <v>94</v>
      </c>
      <c r="K13" s="62" t="s">
        <v>24</v>
      </c>
      <c r="L13" s="62" t="s">
        <v>16</v>
      </c>
      <c r="M13" s="63">
        <v>78180</v>
      </c>
    </row>
    <row r="14" spans="2:13" x14ac:dyDescent="0.2">
      <c r="B14" s="56"/>
      <c r="C14" s="58"/>
      <c r="D14" s="58"/>
      <c r="E14" s="58"/>
      <c r="F14" s="59"/>
      <c r="H14" s="23" t="s">
        <v>97</v>
      </c>
      <c r="I14" s="61" t="s">
        <v>34</v>
      </c>
      <c r="J14" s="24" t="s">
        <v>93</v>
      </c>
      <c r="K14" s="62" t="s">
        <v>19</v>
      </c>
      <c r="L14" s="62" t="s">
        <v>18</v>
      </c>
      <c r="M14" s="63">
        <v>92100</v>
      </c>
    </row>
    <row r="15" spans="2:13" x14ac:dyDescent="0.2">
      <c r="B15" s="56"/>
      <c r="C15" s="58"/>
      <c r="D15" s="58"/>
      <c r="E15" s="58"/>
      <c r="F15" s="59"/>
      <c r="H15" s="23" t="s">
        <v>103</v>
      </c>
      <c r="I15" s="61" t="s">
        <v>201</v>
      </c>
      <c r="J15" s="24" t="s">
        <v>94</v>
      </c>
      <c r="K15" s="62" t="s">
        <v>15</v>
      </c>
      <c r="L15" s="62" t="s">
        <v>18</v>
      </c>
      <c r="M15" s="63">
        <v>75008</v>
      </c>
    </row>
    <row r="16" spans="2:13" x14ac:dyDescent="0.2">
      <c r="B16" s="56"/>
      <c r="C16" s="58"/>
      <c r="D16" s="58"/>
      <c r="E16" s="58"/>
      <c r="F16" s="59"/>
      <c r="H16" s="23" t="s">
        <v>104</v>
      </c>
      <c r="I16" s="61" t="s">
        <v>198</v>
      </c>
      <c r="J16" s="24" t="s">
        <v>93</v>
      </c>
      <c r="K16" s="62" t="s">
        <v>17</v>
      </c>
      <c r="L16" s="62" t="s">
        <v>25</v>
      </c>
      <c r="M16" s="63">
        <v>92100</v>
      </c>
    </row>
    <row r="17" spans="2:13" x14ac:dyDescent="0.2">
      <c r="B17" s="56"/>
      <c r="C17" s="58"/>
      <c r="D17" s="58"/>
      <c r="E17" s="58"/>
      <c r="F17" s="59"/>
      <c r="H17" s="23" t="s">
        <v>105</v>
      </c>
      <c r="I17" s="61" t="s">
        <v>202</v>
      </c>
      <c r="J17" s="24" t="s">
        <v>93</v>
      </c>
      <c r="K17" s="62" t="s">
        <v>19</v>
      </c>
      <c r="L17" s="62" t="s">
        <v>26</v>
      </c>
      <c r="M17" s="63">
        <v>78180</v>
      </c>
    </row>
    <row r="18" spans="2:13" x14ac:dyDescent="0.2">
      <c r="B18" s="56"/>
      <c r="C18" s="58"/>
      <c r="D18" s="58"/>
      <c r="E18" s="58"/>
      <c r="F18" s="59"/>
      <c r="H18" s="23" t="s">
        <v>116</v>
      </c>
      <c r="I18" s="61" t="s">
        <v>213</v>
      </c>
      <c r="J18" s="24" t="s">
        <v>93</v>
      </c>
      <c r="K18" s="62" t="s">
        <v>15</v>
      </c>
      <c r="L18" s="62" t="s">
        <v>18</v>
      </c>
      <c r="M18" s="63">
        <v>78180</v>
      </c>
    </row>
    <row r="19" spans="2:13" x14ac:dyDescent="0.2">
      <c r="B19" s="56"/>
      <c r="C19" s="58"/>
      <c r="D19" s="58"/>
      <c r="E19" s="58"/>
      <c r="F19" s="59"/>
      <c r="H19" s="23" t="s">
        <v>107</v>
      </c>
      <c r="I19" s="61" t="s">
        <v>197</v>
      </c>
      <c r="J19" s="24" t="s">
        <v>94</v>
      </c>
      <c r="K19" s="62" t="s">
        <v>17</v>
      </c>
      <c r="L19" s="62" t="s">
        <v>22</v>
      </c>
      <c r="M19" s="63">
        <v>92100</v>
      </c>
    </row>
    <row r="20" spans="2:13" x14ac:dyDescent="0.2">
      <c r="B20" s="56"/>
      <c r="C20" s="58"/>
      <c r="D20" s="58"/>
      <c r="E20" s="58"/>
      <c r="F20" s="59"/>
      <c r="H20" s="23" t="s">
        <v>108</v>
      </c>
      <c r="I20" s="61" t="s">
        <v>204</v>
      </c>
      <c r="J20" s="24" t="s">
        <v>94</v>
      </c>
      <c r="K20" s="62" t="s">
        <v>19</v>
      </c>
      <c r="L20" s="62" t="s">
        <v>22</v>
      </c>
      <c r="M20" s="63">
        <v>75008</v>
      </c>
    </row>
    <row r="21" spans="2:13" x14ac:dyDescent="0.2">
      <c r="B21" s="56"/>
      <c r="C21" s="58"/>
      <c r="D21" s="58"/>
      <c r="E21" s="58"/>
      <c r="F21" s="59"/>
      <c r="H21" s="23" t="s">
        <v>109</v>
      </c>
      <c r="I21" s="61" t="s">
        <v>205</v>
      </c>
      <c r="J21" s="24" t="s">
        <v>94</v>
      </c>
      <c r="K21" s="62" t="s">
        <v>15</v>
      </c>
      <c r="L21" s="62" t="s">
        <v>20</v>
      </c>
      <c r="M21" s="63">
        <v>92100</v>
      </c>
    </row>
    <row r="22" spans="2:13" x14ac:dyDescent="0.2">
      <c r="B22" s="56"/>
      <c r="C22" s="58"/>
      <c r="D22" s="58"/>
      <c r="E22" s="58"/>
      <c r="F22" s="59"/>
      <c r="H22" s="23" t="s">
        <v>103</v>
      </c>
      <c r="I22" s="61" t="s">
        <v>211</v>
      </c>
      <c r="J22" s="24" t="s">
        <v>94</v>
      </c>
      <c r="K22" s="62" t="s">
        <v>17</v>
      </c>
      <c r="L22" s="62" t="s">
        <v>16</v>
      </c>
      <c r="M22" s="63">
        <v>78180</v>
      </c>
    </row>
    <row r="23" spans="2:13" x14ac:dyDescent="0.2">
      <c r="B23" s="56"/>
      <c r="D23" s="58"/>
      <c r="E23" s="58"/>
      <c r="F23" s="59"/>
      <c r="H23" s="23" t="s">
        <v>111</v>
      </c>
      <c r="I23" s="61" t="s">
        <v>207</v>
      </c>
      <c r="J23" s="24" t="s">
        <v>94</v>
      </c>
      <c r="K23" s="62" t="s">
        <v>19</v>
      </c>
      <c r="L23" s="62" t="s">
        <v>22</v>
      </c>
      <c r="M23" s="63">
        <v>78180</v>
      </c>
    </row>
    <row r="24" spans="2:13" x14ac:dyDescent="0.2">
      <c r="B24" s="56"/>
      <c r="C24" s="58"/>
      <c r="D24" s="58"/>
      <c r="E24" s="58"/>
      <c r="F24" s="59"/>
      <c r="H24" s="23" t="s">
        <v>112</v>
      </c>
      <c r="I24" s="61" t="s">
        <v>206</v>
      </c>
      <c r="J24" s="24" t="s">
        <v>94</v>
      </c>
      <c r="K24" s="62" t="s">
        <v>15</v>
      </c>
      <c r="L24" s="62" t="s">
        <v>18</v>
      </c>
      <c r="M24" s="63">
        <v>92100</v>
      </c>
    </row>
    <row r="25" spans="2:13" ht="12.6" x14ac:dyDescent="0.2">
      <c r="B25" s="56"/>
      <c r="C25" s="58"/>
      <c r="D25" s="58"/>
      <c r="E25" s="19" t="s">
        <v>95</v>
      </c>
      <c r="F25" s="59"/>
      <c r="H25" s="23" t="s">
        <v>107</v>
      </c>
      <c r="I25" s="61" t="s">
        <v>208</v>
      </c>
      <c r="J25" s="24" t="s">
        <v>94</v>
      </c>
      <c r="K25" s="62" t="s">
        <v>17</v>
      </c>
      <c r="L25" s="62" t="s">
        <v>25</v>
      </c>
      <c r="M25" s="63">
        <v>75008</v>
      </c>
    </row>
    <row r="26" spans="2:13" ht="12.6" x14ac:dyDescent="0.2">
      <c r="B26" s="56"/>
      <c r="C26" s="58"/>
      <c r="D26" s="58"/>
      <c r="E26" s="19"/>
      <c r="F26" s="59"/>
      <c r="H26" s="23" t="s">
        <v>114</v>
      </c>
      <c r="I26" s="61" t="s">
        <v>209</v>
      </c>
      <c r="J26" s="24" t="s">
        <v>93</v>
      </c>
      <c r="K26" s="62" t="s">
        <v>19</v>
      </c>
      <c r="L26" s="62" t="s">
        <v>20</v>
      </c>
      <c r="M26" s="63">
        <v>92100</v>
      </c>
    </row>
    <row r="27" spans="2:13" ht="12.6" x14ac:dyDescent="0.2">
      <c r="B27" s="56"/>
      <c r="C27" s="58"/>
      <c r="E27" s="19" t="s">
        <v>96</v>
      </c>
      <c r="F27" s="59"/>
      <c r="H27" s="23" t="s">
        <v>115</v>
      </c>
      <c r="I27" s="61" t="s">
        <v>210</v>
      </c>
      <c r="J27" s="24" t="s">
        <v>94</v>
      </c>
      <c r="K27" s="62" t="s">
        <v>15</v>
      </c>
      <c r="L27" s="62" t="s">
        <v>18</v>
      </c>
      <c r="M27" s="63">
        <v>78180</v>
      </c>
    </row>
    <row r="28" spans="2:13" ht="12" thickBot="1" x14ac:dyDescent="0.25">
      <c r="B28" s="64"/>
      <c r="C28" s="65"/>
      <c r="D28" s="65"/>
      <c r="E28" s="65"/>
      <c r="F28" s="66"/>
      <c r="H28" s="23" t="s">
        <v>116</v>
      </c>
      <c r="I28" s="61" t="s">
        <v>203</v>
      </c>
      <c r="J28" s="24" t="s">
        <v>93</v>
      </c>
      <c r="K28" s="62" t="s">
        <v>17</v>
      </c>
      <c r="L28" s="62" t="s">
        <v>45</v>
      </c>
      <c r="M28" s="63">
        <v>78180</v>
      </c>
    </row>
    <row r="31" spans="2:13" ht="13.2" x14ac:dyDescent="0.25">
      <c r="E31" s="50" t="s">
        <v>246</v>
      </c>
      <c r="H31" s="155" t="s">
        <v>350</v>
      </c>
      <c r="I31" s="155" t="s">
        <v>220</v>
      </c>
    </row>
    <row r="32" spans="2:13" x14ac:dyDescent="0.2">
      <c r="H32" s="153" t="s">
        <v>349</v>
      </c>
      <c r="I32" s="153" t="s">
        <v>221</v>
      </c>
    </row>
    <row r="33" spans="7:13" x14ac:dyDescent="0.2">
      <c r="H33" s="153" t="s">
        <v>44</v>
      </c>
      <c r="I33" s="265" t="s">
        <v>218</v>
      </c>
      <c r="J33" s="70"/>
      <c r="K33" s="70"/>
    </row>
    <row r="34" spans="7:13" x14ac:dyDescent="0.2">
      <c r="H34" s="69"/>
      <c r="I34" s="69"/>
      <c r="J34" s="70"/>
      <c r="K34" s="70"/>
    </row>
    <row r="35" spans="7:13" x14ac:dyDescent="0.2">
      <c r="H35" s="153"/>
      <c r="I35" s="153"/>
    </row>
    <row r="36" spans="7:13" x14ac:dyDescent="0.2">
      <c r="H36" s="153"/>
      <c r="I36" s="153"/>
    </row>
    <row r="37" spans="7:13" x14ac:dyDescent="0.2">
      <c r="H37" s="153"/>
      <c r="I37" s="153"/>
    </row>
    <row r="38" spans="7:13" ht="13.2" x14ac:dyDescent="0.25">
      <c r="G38"/>
      <c r="H38" s="155"/>
      <c r="I38" s="155"/>
      <c r="J38"/>
      <c r="K38"/>
      <c r="L38"/>
      <c r="M38"/>
    </row>
    <row r="39" spans="7:13" ht="13.2" x14ac:dyDescent="0.25">
      <c r="G39"/>
      <c r="H39" s="155"/>
      <c r="I39" s="155"/>
      <c r="J39"/>
      <c r="K39"/>
      <c r="L39"/>
      <c r="M39"/>
    </row>
    <row r="40" spans="7:13" ht="13.2" x14ac:dyDescent="0.25">
      <c r="G40"/>
      <c r="J40"/>
      <c r="K40"/>
      <c r="L40"/>
      <c r="M40"/>
    </row>
    <row r="41" spans="7:13" ht="13.2" x14ac:dyDescent="0.25">
      <c r="G41"/>
      <c r="J41"/>
      <c r="K41"/>
      <c r="L41"/>
      <c r="M41"/>
    </row>
    <row r="42" spans="7:13" ht="13.2" x14ac:dyDescent="0.25">
      <c r="G42"/>
      <c r="H42" s="153"/>
      <c r="I42" s="153"/>
      <c r="J42"/>
      <c r="K42"/>
      <c r="L42"/>
      <c r="M42"/>
    </row>
    <row r="43" spans="7:13" ht="13.2" x14ac:dyDescent="0.25">
      <c r="G43"/>
      <c r="H43" s="153"/>
      <c r="I43" s="153"/>
      <c r="J43"/>
      <c r="K43"/>
      <c r="L43"/>
      <c r="M43"/>
    </row>
    <row r="44" spans="7:13" ht="13.2" x14ac:dyDescent="0.25">
      <c r="G44"/>
      <c r="H44" s="153"/>
      <c r="I44" s="153"/>
      <c r="J44"/>
      <c r="K44"/>
      <c r="L44"/>
      <c r="M44"/>
    </row>
    <row r="45" spans="7:13" ht="13.2" x14ac:dyDescent="0.25">
      <c r="G45"/>
      <c r="H45" s="153"/>
      <c r="I45" s="153"/>
      <c r="J45"/>
      <c r="K45"/>
      <c r="L45"/>
      <c r="M45"/>
    </row>
    <row r="46" spans="7:13" ht="13.2" x14ac:dyDescent="0.25">
      <c r="G46"/>
      <c r="H46" s="153"/>
      <c r="I46" s="153"/>
      <c r="J46"/>
      <c r="K46"/>
      <c r="L46"/>
      <c r="M46"/>
    </row>
    <row r="47" spans="7:13" ht="13.2" x14ac:dyDescent="0.25">
      <c r="G47"/>
      <c r="H47" s="153"/>
      <c r="I47" s="153"/>
      <c r="J47"/>
      <c r="K47"/>
      <c r="L47"/>
      <c r="M47"/>
    </row>
    <row r="48" spans="7:13" x14ac:dyDescent="0.2">
      <c r="H48" s="153"/>
      <c r="I48" s="153"/>
    </row>
    <row r="49" spans="8:9" x14ac:dyDescent="0.2">
      <c r="H49" s="153"/>
      <c r="I49" s="153"/>
    </row>
    <row r="50" spans="8:9" x14ac:dyDescent="0.2">
      <c r="H50" s="153"/>
      <c r="I50" s="153"/>
    </row>
  </sheetData>
  <phoneticPr fontId="14" type="noConversion"/>
  <conditionalFormatting sqref="K9:M28">
    <cfRule type="expression" dxfId="11" priority="1" stopIfTrue="1">
      <formula>AND($H9=$C$3,$I9=$D$3)</formula>
    </cfRule>
  </conditionalFormatting>
  <conditionalFormatting sqref="H9:J28">
    <cfRule type="expression" dxfId="10" priority="2" stopIfTrue="1">
      <formula>AND($H9=$C$3,$I9=$D$3)</formula>
    </cfRule>
  </conditionalFormatting>
  <dataValidations count="2">
    <dataValidation type="list" allowBlank="1" showInputMessage="1" showErrorMessage="1" sqref="B2 C3">
      <formula1>$H$9:$H$28</formula1>
    </dataValidation>
    <dataValidation type="list" allowBlank="1" showInputMessage="1" showErrorMessage="1" sqref="D3">
      <formula1>$I$9:$I$28</formula1>
    </dataValidation>
  </dataValidations>
  <hyperlinks>
    <hyperlink ref="E31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M39"/>
  <sheetViews>
    <sheetView showGridLines="0" workbookViewId="0"/>
  </sheetViews>
  <sheetFormatPr defaultColWidth="12.5546875" defaultRowHeight="10.199999999999999" x14ac:dyDescent="0.2"/>
  <cols>
    <col min="1" max="1" width="7" style="47" bestFit="1" customWidth="1"/>
    <col min="2" max="2" width="9.109375" style="47" bestFit="1" customWidth="1"/>
    <col min="3" max="3" width="8.88671875" style="47" bestFit="1" customWidth="1"/>
    <col min="4" max="4" width="9.33203125" style="47" bestFit="1" customWidth="1"/>
    <col min="5" max="5" width="12.5546875" style="47" customWidth="1"/>
    <col min="6" max="6" width="7.5546875" style="47" bestFit="1" customWidth="1"/>
    <col min="7" max="7" width="9.109375" style="47" customWidth="1"/>
    <col min="8" max="9" width="9.33203125" style="47" bestFit="1" customWidth="1"/>
    <col min="10" max="16384" width="12.5546875" style="47"/>
  </cols>
  <sheetData>
    <row r="1" spans="1:13" ht="12.6" x14ac:dyDescent="0.2">
      <c r="A1" s="280" t="s">
        <v>88</v>
      </c>
      <c r="B1" s="280" t="s">
        <v>237</v>
      </c>
      <c r="C1" s="280" t="s">
        <v>191</v>
      </c>
      <c r="D1" s="46"/>
      <c r="E1" s="46"/>
    </row>
    <row r="2" spans="1:13" ht="12.6" x14ac:dyDescent="0.2">
      <c r="A2" s="48" t="s">
        <v>97</v>
      </c>
      <c r="B2" s="281" t="s">
        <v>31</v>
      </c>
      <c r="C2" s="281" t="s">
        <v>238</v>
      </c>
      <c r="D2" s="46"/>
      <c r="E2" s="46"/>
    </row>
    <row r="3" spans="1:13" ht="12.6" x14ac:dyDescent="0.2">
      <c r="A3" s="48" t="s">
        <v>97</v>
      </c>
      <c r="B3" s="281" t="s">
        <v>32</v>
      </c>
      <c r="C3" s="281" t="s">
        <v>239</v>
      </c>
      <c r="D3" s="46"/>
      <c r="E3" s="46"/>
    </row>
    <row r="4" spans="1:13" ht="12.6" x14ac:dyDescent="0.2">
      <c r="A4" s="48" t="s">
        <v>97</v>
      </c>
      <c r="B4" s="281" t="s">
        <v>33</v>
      </c>
      <c r="C4" s="281" t="s">
        <v>240</v>
      </c>
      <c r="D4" s="46"/>
      <c r="E4" s="46"/>
    </row>
    <row r="5" spans="1:13" ht="12.6" x14ac:dyDescent="0.2">
      <c r="A5" s="48" t="s">
        <v>229</v>
      </c>
      <c r="B5" s="281" t="s">
        <v>31</v>
      </c>
      <c r="C5" s="281" t="s">
        <v>241</v>
      </c>
      <c r="D5" s="46"/>
      <c r="E5" s="46"/>
    </row>
    <row r="6" spans="1:13" ht="12.6" x14ac:dyDescent="0.2">
      <c r="A6" s="48" t="s">
        <v>229</v>
      </c>
      <c r="B6" s="281" t="s">
        <v>32</v>
      </c>
      <c r="C6" s="281" t="s">
        <v>242</v>
      </c>
      <c r="D6" s="46"/>
      <c r="E6" s="46"/>
    </row>
    <row r="7" spans="1:13" ht="12.6" x14ac:dyDescent="0.2">
      <c r="A7" s="48" t="s">
        <v>230</v>
      </c>
      <c r="B7" s="281" t="s">
        <v>31</v>
      </c>
      <c r="C7" s="281" t="s">
        <v>243</v>
      </c>
      <c r="D7" s="46"/>
      <c r="E7" s="46"/>
    </row>
    <row r="8" spans="1:13" ht="12.6" x14ac:dyDescent="0.2">
      <c r="A8" s="48" t="s">
        <v>230</v>
      </c>
      <c r="B8" s="281" t="s">
        <v>33</v>
      </c>
      <c r="C8" s="281" t="s">
        <v>244</v>
      </c>
      <c r="D8" s="46"/>
      <c r="E8" s="46"/>
      <c r="F8" s="48"/>
      <c r="G8" s="49" t="s">
        <v>31</v>
      </c>
      <c r="H8" s="49" t="s">
        <v>32</v>
      </c>
      <c r="I8" s="49" t="s">
        <v>33</v>
      </c>
    </row>
    <row r="9" spans="1:13" ht="12.6" x14ac:dyDescent="0.2">
      <c r="D9" s="46"/>
      <c r="E9" s="46"/>
      <c r="F9" s="49" t="s">
        <v>97</v>
      </c>
      <c r="G9" s="48" t="str">
        <f t="array" ref="G9">IF(ISNA(MATCH($F9&amp;G$8,JMENO&amp;KVARTAL,0)),"",INDEX(PRODUKT,MATCH($F9&amp;G$8,JMENO&amp;KVARTAL,0)))</f>
        <v>Axxx</v>
      </c>
      <c r="H9" s="48" t="str">
        <f t="array" ref="H9">IF(ISNA(MATCH($F9&amp;H$8,JMENO&amp;KVARTAL,0)),"",INDEX(PRODUKT,MATCH($F9&amp;H$8,JMENO&amp;KVARTAL,0)))</f>
        <v>Bxxx</v>
      </c>
      <c r="I9" s="48" t="str">
        <f t="array" ref="I9">IF(ISNA(MATCH($F9&amp;I$8,JMENO&amp;KVARTAL,0)),"",INDEX(PRODUKT,MATCH($F9&amp;I$8,JMENO&amp;KVARTAL,0)))</f>
        <v>Cxxx</v>
      </c>
    </row>
    <row r="10" spans="1:13" x14ac:dyDescent="0.2">
      <c r="F10" s="49" t="s">
        <v>229</v>
      </c>
      <c r="G10" s="48" t="str">
        <f t="array" ref="G10">IF(ISNA(MATCH($F10&amp;G$8,JMENO&amp;KVARTAL,0)),"",INDEX(PRODUKT,MATCH($F10&amp;G$8,JMENO&amp;KVARTAL,0)))</f>
        <v>Ayyy</v>
      </c>
      <c r="H10" s="48" t="str">
        <f t="array" ref="H10">IF(ISNA(MATCH($F10&amp;H$8,JMENO&amp;KVARTAL,0)),"",INDEX(PRODUKT,MATCH($F10&amp;H$8,JMENO&amp;KVARTAL,0)))</f>
        <v>Byyy</v>
      </c>
      <c r="I10" s="48" t="str">
        <f t="array" ref="I10">IF(ISNA(MATCH($F10&amp;I$8,JMENO&amp;KVARTAL,0)),"",INDEX(PRODUKT,MATCH($F10&amp;I$8,JMENO&amp;KVARTAL,0)))</f>
        <v/>
      </c>
    </row>
    <row r="11" spans="1:13" s="46" customFormat="1" ht="12.6" x14ac:dyDescent="0.2">
      <c r="F11" s="49" t="s">
        <v>230</v>
      </c>
      <c r="G11" s="48" t="str">
        <f t="array" ref="G11">IF(ISNA(MATCH($F11&amp;G$8,JMENO&amp;KVARTAL,0)),"",INDEX(PRODUKT,MATCH($F11&amp;G$8,JMENO&amp;KVARTAL,0)))</f>
        <v>Awww</v>
      </c>
      <c r="H11" s="48" t="str">
        <f t="array" ref="H11">IF(ISNA(MATCH($F11&amp;H$8,JMENO&amp;KVARTAL,0)),"",INDEX(PRODUKT,MATCH($F11&amp;H$8,JMENO&amp;KVARTAL,0)))</f>
        <v/>
      </c>
      <c r="I11" s="48" t="str">
        <f t="array" ref="I11">IF(ISNA(MATCH($F11&amp;I$8,JMENO&amp;KVARTAL,0)),"",INDEX(PRODUKT,MATCH($F11&amp;I$8,JMENO&amp;KVARTAL,0)))</f>
        <v>Cwww</v>
      </c>
      <c r="K11" s="68"/>
      <c r="L11" s="68"/>
    </row>
    <row r="12" spans="1:13" s="46" customFormat="1" ht="12.6" x14ac:dyDescent="0.2">
      <c r="K12" s="68"/>
      <c r="L12" s="68"/>
    </row>
    <row r="13" spans="1:13" s="46" customFormat="1" ht="12.6" x14ac:dyDescent="0.2">
      <c r="K13" s="68"/>
      <c r="L13" s="68"/>
    </row>
    <row r="14" spans="1:13" s="46" customFormat="1" ht="12.6" x14ac:dyDescent="0.2">
      <c r="J14" s="69"/>
      <c r="K14" s="69"/>
      <c r="L14" s="69"/>
    </row>
    <row r="15" spans="1:13" s="46" customFormat="1" ht="12.6" x14ac:dyDescent="0.2">
      <c r="J15" s="69"/>
      <c r="K15" s="69"/>
      <c r="L15" s="83"/>
      <c r="M15" s="50" t="s">
        <v>246</v>
      </c>
    </row>
    <row r="16" spans="1:13" s="46" customFormat="1" ht="12.6" x14ac:dyDescent="0.2">
      <c r="J16" s="69"/>
      <c r="K16" s="69"/>
      <c r="L16" s="69"/>
    </row>
    <row r="17" spans="5:12" s="46" customFormat="1" ht="12.6" x14ac:dyDescent="0.2">
      <c r="K17" s="68"/>
      <c r="L17" s="68"/>
    </row>
    <row r="18" spans="5:12" s="46" customFormat="1" ht="12.6" x14ac:dyDescent="0.2">
      <c r="E18" s="68"/>
      <c r="F18" s="68"/>
      <c r="J18" s="282" t="s">
        <v>236</v>
      </c>
      <c r="K18" s="69"/>
    </row>
    <row r="19" spans="5:12" s="46" customFormat="1" ht="12.6" x14ac:dyDescent="0.2">
      <c r="E19" s="68"/>
      <c r="F19" s="68"/>
      <c r="J19" s="69"/>
      <c r="K19" s="69"/>
    </row>
    <row r="20" spans="5:12" s="46" customFormat="1" ht="12.6" x14ac:dyDescent="0.2">
      <c r="E20" s="68"/>
      <c r="F20" s="68"/>
      <c r="J20" s="68" t="s">
        <v>219</v>
      </c>
      <c r="K20" s="68" t="s">
        <v>231</v>
      </c>
    </row>
    <row r="21" spans="5:12" s="46" customFormat="1" ht="12.6" x14ac:dyDescent="0.2">
      <c r="E21" s="68"/>
      <c r="F21" s="68"/>
      <c r="J21" s="119" t="s">
        <v>232</v>
      </c>
      <c r="K21" s="119" t="s">
        <v>233</v>
      </c>
      <c r="L21" s="68"/>
    </row>
    <row r="22" spans="5:12" s="46" customFormat="1" ht="12.6" x14ac:dyDescent="0.2">
      <c r="E22" s="68"/>
      <c r="F22" s="68"/>
      <c r="J22" s="119" t="s">
        <v>234</v>
      </c>
      <c r="K22" s="119" t="s">
        <v>235</v>
      </c>
    </row>
    <row r="23" spans="5:12" s="46" customFormat="1" ht="12.6" x14ac:dyDescent="0.2">
      <c r="K23" s="68"/>
      <c r="L23" s="68"/>
    </row>
    <row r="24" spans="5:12" s="46" customFormat="1" ht="12.6" x14ac:dyDescent="0.2"/>
    <row r="25" spans="5:12" s="46" customFormat="1" ht="12.6" x14ac:dyDescent="0.2">
      <c r="K25" s="68"/>
      <c r="L25" s="68"/>
    </row>
    <row r="26" spans="5:12" s="46" customFormat="1" ht="12.6" x14ac:dyDescent="0.2">
      <c r="E26" s="68"/>
      <c r="F26" s="68"/>
      <c r="K26" s="68"/>
      <c r="L26" s="68"/>
    </row>
    <row r="27" spans="5:12" x14ac:dyDescent="0.2">
      <c r="E27" s="119"/>
      <c r="F27" s="119"/>
      <c r="K27" s="119"/>
      <c r="L27" s="119"/>
    </row>
    <row r="30" spans="5:12" x14ac:dyDescent="0.2">
      <c r="E30" s="119"/>
      <c r="F30" s="119"/>
    </row>
    <row r="31" spans="5:12" x14ac:dyDescent="0.2">
      <c r="E31" s="119"/>
      <c r="F31" s="119"/>
    </row>
    <row r="32" spans="5:12" x14ac:dyDescent="0.2">
      <c r="E32" s="119"/>
      <c r="F32" s="119"/>
    </row>
    <row r="33" spans="5:6" x14ac:dyDescent="0.2">
      <c r="E33" s="119"/>
      <c r="F33" s="119"/>
    </row>
    <row r="35" spans="5:6" x14ac:dyDescent="0.2">
      <c r="E35" s="119"/>
      <c r="F35" s="119"/>
    </row>
    <row r="36" spans="5:6" x14ac:dyDescent="0.2">
      <c r="E36" s="119"/>
      <c r="F36" s="119"/>
    </row>
    <row r="37" spans="5:6" x14ac:dyDescent="0.2">
      <c r="E37" s="119"/>
      <c r="F37" s="119"/>
    </row>
    <row r="38" spans="5:6" x14ac:dyDescent="0.2">
      <c r="E38" s="119"/>
      <c r="F38" s="119"/>
    </row>
    <row r="39" spans="5:6" x14ac:dyDescent="0.2">
      <c r="E39" s="119"/>
      <c r="F39" s="119"/>
    </row>
  </sheetData>
  <phoneticPr fontId="13" type="noConversion"/>
  <hyperlinks>
    <hyperlink ref="M15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L53"/>
  <sheetViews>
    <sheetView showGridLines="0" showZeros="0" workbookViewId="0">
      <selection activeCell="B9" sqref="B9"/>
    </sheetView>
  </sheetViews>
  <sheetFormatPr defaultColWidth="10.33203125" defaultRowHeight="10.199999999999999" x14ac:dyDescent="0.2"/>
  <cols>
    <col min="1" max="1" width="9.5546875" style="83" customWidth="1"/>
    <col min="2" max="2" width="30.109375" style="83" customWidth="1"/>
    <col min="3" max="3" width="9.109375" style="83" bestFit="1" customWidth="1"/>
    <col min="4" max="4" width="12.5546875" style="83" bestFit="1" customWidth="1"/>
    <col min="5" max="5" width="11.6640625" style="83" bestFit="1" customWidth="1"/>
    <col min="6" max="6" width="6.109375" style="83" customWidth="1"/>
    <col min="7" max="7" width="4.6640625" style="83" customWidth="1"/>
    <col min="8" max="8" width="15.6640625" style="83" customWidth="1"/>
    <col min="9" max="9" width="31" style="83" bestFit="1" customWidth="1"/>
    <col min="10" max="10" width="11.88671875" style="83" customWidth="1"/>
    <col min="11" max="11" width="31" style="83" bestFit="1" customWidth="1"/>
    <col min="12" max="16384" width="10.33203125" style="83"/>
  </cols>
  <sheetData>
    <row r="1" spans="1:12" ht="16.2" x14ac:dyDescent="0.3">
      <c r="A1" s="78"/>
      <c r="B1" s="79"/>
      <c r="C1" s="80"/>
      <c r="D1" s="81"/>
      <c r="E1" s="80"/>
      <c r="F1" s="82"/>
      <c r="H1" s="84" t="s">
        <v>282</v>
      </c>
      <c r="I1" s="85"/>
      <c r="J1" s="85"/>
    </row>
    <row r="2" spans="1:12" ht="16.2" x14ac:dyDescent="0.3">
      <c r="A2" s="86"/>
      <c r="B2" s="87"/>
      <c r="C2" s="88"/>
      <c r="D2" s="89"/>
      <c r="E2" s="88"/>
      <c r="F2" s="90"/>
      <c r="H2" s="91" t="s">
        <v>125</v>
      </c>
      <c r="I2" s="91" t="s">
        <v>283</v>
      </c>
      <c r="J2" s="91" t="s">
        <v>82</v>
      </c>
    </row>
    <row r="3" spans="1:12" ht="16.2" x14ac:dyDescent="0.3">
      <c r="A3" s="86"/>
      <c r="B3" s="87"/>
      <c r="C3" s="88"/>
      <c r="D3" s="89"/>
      <c r="E3" s="88"/>
      <c r="F3" s="90"/>
      <c r="H3" s="92" t="s">
        <v>262</v>
      </c>
      <c r="I3" s="92" t="s">
        <v>263</v>
      </c>
      <c r="J3" s="284">
        <v>280</v>
      </c>
    </row>
    <row r="4" spans="1:12" ht="16.2" x14ac:dyDescent="0.3">
      <c r="A4" s="86"/>
      <c r="B4" s="87"/>
      <c r="C4" s="88"/>
      <c r="D4" s="89"/>
      <c r="E4" s="88"/>
      <c r="F4" s="90"/>
      <c r="H4" s="92" t="s">
        <v>264</v>
      </c>
      <c r="I4" s="92" t="s">
        <v>265</v>
      </c>
      <c r="J4" s="284">
        <v>260</v>
      </c>
    </row>
    <row r="5" spans="1:12" x14ac:dyDescent="0.2">
      <c r="A5" s="94"/>
      <c r="B5" s="88"/>
      <c r="C5" s="88"/>
      <c r="D5" s="88"/>
      <c r="E5" s="88"/>
      <c r="F5" s="90"/>
      <c r="H5" s="92" t="s">
        <v>266</v>
      </c>
      <c r="I5" s="92" t="s">
        <v>278</v>
      </c>
      <c r="J5" s="284">
        <v>470</v>
      </c>
    </row>
    <row r="6" spans="1:12" x14ac:dyDescent="0.2">
      <c r="A6" s="94"/>
      <c r="B6" s="88"/>
      <c r="C6" s="88"/>
      <c r="D6" s="88"/>
      <c r="E6" s="88"/>
      <c r="F6" s="90"/>
      <c r="H6" s="92" t="s">
        <v>267</v>
      </c>
      <c r="I6" s="92" t="s">
        <v>279</v>
      </c>
      <c r="J6" s="284">
        <v>350</v>
      </c>
    </row>
    <row r="7" spans="1:12" x14ac:dyDescent="0.2">
      <c r="A7" s="94"/>
      <c r="B7" s="88"/>
      <c r="C7" s="88"/>
      <c r="D7" s="88"/>
      <c r="E7" s="88"/>
      <c r="F7" s="90"/>
      <c r="H7" s="92" t="s">
        <v>268</v>
      </c>
      <c r="I7" s="92" t="s">
        <v>269</v>
      </c>
      <c r="J7" s="284">
        <v>190</v>
      </c>
    </row>
    <row r="8" spans="1:12" ht="16.2" x14ac:dyDescent="0.3">
      <c r="A8" s="95" t="s">
        <v>125</v>
      </c>
      <c r="B8" s="96" t="s">
        <v>283</v>
      </c>
      <c r="C8" s="97" t="s">
        <v>82</v>
      </c>
      <c r="D8" s="97" t="s">
        <v>342</v>
      </c>
      <c r="E8" s="97" t="s">
        <v>284</v>
      </c>
      <c r="F8" s="90"/>
      <c r="H8" s="92" t="s">
        <v>270</v>
      </c>
      <c r="I8" s="92" t="s">
        <v>271</v>
      </c>
      <c r="J8" s="284">
        <v>330</v>
      </c>
      <c r="L8" s="98"/>
    </row>
    <row r="9" spans="1:12" x14ac:dyDescent="0.2">
      <c r="A9" s="99" t="s">
        <v>266</v>
      </c>
      <c r="B9" s="100" t="str">
        <f t="shared" ref="B9:B14" si="0">IF(ISNA(VLOOKUP(A9,Tabulka_Produkty,2,FALSE)),"",VLOOKUP(A9,Tabulka_Produkty,2,FALSE))</f>
        <v>Cabernet Sauvignon, ročník 2002</v>
      </c>
      <c r="C9" s="285">
        <f t="shared" ref="C9:C14" si="1">IF(ISNA(VLOOKUP(A9,Tabulka_Produkty,3,FALSE)),"",VLOOKUP(A9,Tabulka_Produkty,3,FALSE))</f>
        <v>470</v>
      </c>
      <c r="D9" s="92">
        <v>5</v>
      </c>
      <c r="E9" s="285">
        <f t="shared" ref="E9:E14" si="2">C9*D9</f>
        <v>2350</v>
      </c>
      <c r="F9" s="90"/>
      <c r="H9" s="92" t="s">
        <v>272</v>
      </c>
      <c r="I9" s="92" t="s">
        <v>273</v>
      </c>
      <c r="J9" s="284">
        <v>370</v>
      </c>
    </row>
    <row r="10" spans="1:12" x14ac:dyDescent="0.2">
      <c r="A10" s="99" t="s">
        <v>270</v>
      </c>
      <c r="B10" s="100" t="str">
        <f t="shared" si="0"/>
        <v>Vermentino di Gallura, ročník 2005</v>
      </c>
      <c r="C10" s="285">
        <f t="shared" si="1"/>
        <v>330</v>
      </c>
      <c r="D10" s="92">
        <v>1</v>
      </c>
      <c r="E10" s="285">
        <f t="shared" si="2"/>
        <v>330</v>
      </c>
      <c r="F10" s="90"/>
      <c r="H10" s="92" t="s">
        <v>274</v>
      </c>
      <c r="I10" s="92" t="s">
        <v>275</v>
      </c>
      <c r="J10" s="284">
        <v>210</v>
      </c>
    </row>
    <row r="11" spans="1:12" x14ac:dyDescent="0.2">
      <c r="A11" s="99" t="s">
        <v>272</v>
      </c>
      <c r="B11" s="100" t="str">
        <f t="shared" si="0"/>
        <v>Vermentino di Gallura, ročník 2006</v>
      </c>
      <c r="C11" s="285">
        <f t="shared" si="1"/>
        <v>370</v>
      </c>
      <c r="D11" s="92">
        <v>3</v>
      </c>
      <c r="E11" s="285">
        <f t="shared" si="2"/>
        <v>1110</v>
      </c>
      <c r="F11" s="90"/>
      <c r="H11" s="92" t="s">
        <v>276</v>
      </c>
      <c r="I11" s="92" t="s">
        <v>277</v>
      </c>
      <c r="J11" s="284">
        <v>390</v>
      </c>
    </row>
    <row r="12" spans="1:12" x14ac:dyDescent="0.2">
      <c r="A12" s="99" t="s">
        <v>276</v>
      </c>
      <c r="B12" s="100" t="str">
        <f t="shared" si="0"/>
        <v>Aurelius, ročník 2003</v>
      </c>
      <c r="C12" s="285">
        <f t="shared" si="1"/>
        <v>390</v>
      </c>
      <c r="D12" s="92">
        <v>1</v>
      </c>
      <c r="E12" s="285">
        <f t="shared" si="2"/>
        <v>390</v>
      </c>
      <c r="F12" s="90"/>
      <c r="H12" s="92" t="s">
        <v>280</v>
      </c>
      <c r="I12" s="92" t="s">
        <v>281</v>
      </c>
      <c r="J12" s="284">
        <v>354</v>
      </c>
    </row>
    <row r="13" spans="1:12" ht="12.6" x14ac:dyDescent="0.2">
      <c r="A13" s="99" t="s">
        <v>264</v>
      </c>
      <c r="B13" s="100" t="str">
        <f t="shared" si="0"/>
        <v>Ryzlink rýnský</v>
      </c>
      <c r="C13" s="285">
        <f t="shared" si="1"/>
        <v>260</v>
      </c>
      <c r="D13" s="92">
        <v>1</v>
      </c>
      <c r="E13" s="285">
        <f t="shared" si="2"/>
        <v>260</v>
      </c>
      <c r="F13" s="90"/>
      <c r="H13" s="102"/>
      <c r="I13" s="102"/>
      <c r="J13" s="102"/>
    </row>
    <row r="14" spans="1:12" ht="12.6" x14ac:dyDescent="0.2">
      <c r="A14" s="99" t="s">
        <v>280</v>
      </c>
      <c r="B14" s="100" t="str">
        <f t="shared" si="0"/>
        <v>Dan Hermite, ročník 2007</v>
      </c>
      <c r="C14" s="285">
        <f t="shared" si="1"/>
        <v>354</v>
      </c>
      <c r="D14" s="92">
        <v>3</v>
      </c>
      <c r="E14" s="285">
        <f t="shared" si="2"/>
        <v>1062</v>
      </c>
      <c r="F14" s="90"/>
      <c r="H14" s="87" t="s">
        <v>117</v>
      </c>
      <c r="I14" s="102"/>
      <c r="J14" s="102"/>
      <c r="K14" s="102"/>
      <c r="L14" s="102"/>
    </row>
    <row r="15" spans="1:12" ht="12.6" x14ac:dyDescent="0.2">
      <c r="A15" s="99"/>
      <c r="B15" s="100" t="str">
        <f>IF(ISNA(VLOOKUP(A15,Articles,2,FALSE)),"",VLOOKUP(A15,Articles,2,FALSE))</f>
        <v/>
      </c>
      <c r="C15" s="285" t="str">
        <f>IF(ISNA(VLOOKUP(A15,Articles,3,FALSE)),"",VLOOKUP(A15,Articles,3,FALSE))</f>
        <v/>
      </c>
      <c r="D15" s="92"/>
      <c r="E15" s="285"/>
      <c r="F15" s="90"/>
      <c r="H15" s="91" t="s">
        <v>285</v>
      </c>
      <c r="I15" s="91" t="s">
        <v>286</v>
      </c>
      <c r="K15" s="102"/>
      <c r="L15" s="102"/>
    </row>
    <row r="16" spans="1:12" ht="12.6" x14ac:dyDescent="0.2">
      <c r="A16" s="103"/>
      <c r="B16" s="104"/>
      <c r="C16" s="104"/>
      <c r="D16" s="104"/>
      <c r="E16" s="104"/>
      <c r="F16" s="90"/>
      <c r="H16" s="93">
        <v>0</v>
      </c>
      <c r="I16" s="92">
        <v>0</v>
      </c>
      <c r="K16" s="102"/>
      <c r="L16" s="102"/>
    </row>
    <row r="17" spans="1:12" ht="12.6" x14ac:dyDescent="0.2">
      <c r="A17" s="105"/>
      <c r="B17" s="88"/>
      <c r="C17" s="88"/>
      <c r="D17" s="87" t="s">
        <v>41</v>
      </c>
      <c r="E17" s="286">
        <f>SUM(E9:E15)</f>
        <v>5502</v>
      </c>
      <c r="F17" s="90"/>
      <c r="H17" s="284">
        <v>2000</v>
      </c>
      <c r="I17" s="106">
        <v>0.02</v>
      </c>
      <c r="K17" s="102"/>
      <c r="L17" s="102"/>
    </row>
    <row r="18" spans="1:12" x14ac:dyDescent="0.2">
      <c r="A18" s="94"/>
      <c r="B18" s="107"/>
      <c r="C18" s="88"/>
      <c r="D18" s="87" t="s">
        <v>287</v>
      </c>
      <c r="E18" s="288">
        <v>0.19</v>
      </c>
      <c r="F18" s="90"/>
      <c r="H18" s="284">
        <v>4000</v>
      </c>
      <c r="I18" s="106">
        <v>0.05</v>
      </c>
    </row>
    <row r="19" spans="1:12" ht="12.9" customHeight="1" x14ac:dyDescent="0.2">
      <c r="A19" s="94"/>
      <c r="B19" s="88"/>
      <c r="C19" s="88"/>
      <c r="D19" s="87" t="s">
        <v>288</v>
      </c>
      <c r="E19" s="286">
        <f>E17*E18</f>
        <v>1045.3800000000001</v>
      </c>
      <c r="F19" s="90"/>
      <c r="H19" s="284">
        <v>6000</v>
      </c>
      <c r="I19" s="106">
        <v>7.0000000000000007E-2</v>
      </c>
    </row>
    <row r="20" spans="1:12" x14ac:dyDescent="0.2">
      <c r="A20" s="108" t="b">
        <v>1</v>
      </c>
      <c r="B20" s="107"/>
      <c r="C20" s="109">
        <v>3</v>
      </c>
      <c r="D20" s="87" t="s">
        <v>289</v>
      </c>
      <c r="E20" s="286">
        <f>E17+E19</f>
        <v>6547.38</v>
      </c>
      <c r="F20" s="110"/>
      <c r="H20" s="284">
        <v>10000</v>
      </c>
      <c r="I20" s="106">
        <v>0.15</v>
      </c>
    </row>
    <row r="21" spans="1:12" x14ac:dyDescent="0.2">
      <c r="A21" s="111"/>
      <c r="B21" s="107"/>
      <c r="C21" s="107">
        <v>0</v>
      </c>
      <c r="D21" s="107"/>
      <c r="E21" s="107"/>
      <c r="F21" s="110"/>
    </row>
    <row r="22" spans="1:12" x14ac:dyDescent="0.2">
      <c r="A22" s="111"/>
      <c r="B22" s="107"/>
      <c r="C22" s="107">
        <v>0</v>
      </c>
      <c r="D22" s="87" t="s">
        <v>290</v>
      </c>
      <c r="E22" s="112">
        <f>VLOOKUP(E20,Tabulka_slevy,2)</f>
        <v>7.0000000000000007E-2</v>
      </c>
      <c r="F22" s="110"/>
    </row>
    <row r="23" spans="1:12" x14ac:dyDescent="0.2">
      <c r="A23" s="111"/>
      <c r="B23" s="107"/>
      <c r="C23" s="107"/>
      <c r="D23" s="87" t="s">
        <v>291</v>
      </c>
      <c r="E23" s="287">
        <f>E20*E22</f>
        <v>458.31660000000005</v>
      </c>
      <c r="F23" s="110"/>
    </row>
    <row r="24" spans="1:12" x14ac:dyDescent="0.2">
      <c r="A24" s="111"/>
      <c r="B24" s="107"/>
      <c r="C24" s="107"/>
      <c r="D24" s="107"/>
      <c r="E24" s="107"/>
      <c r="F24" s="110"/>
    </row>
    <row r="25" spans="1:12" ht="12" thickBot="1" x14ac:dyDescent="0.25">
      <c r="A25" s="113"/>
      <c r="B25" s="114"/>
      <c r="C25" s="114"/>
      <c r="D25" s="114"/>
      <c r="E25" s="114"/>
      <c r="F25" s="115"/>
      <c r="I25" s="50" t="s">
        <v>246</v>
      </c>
    </row>
    <row r="27" spans="1:12" x14ac:dyDescent="0.2">
      <c r="H27" s="154" t="s">
        <v>339</v>
      </c>
      <c r="I27" s="154" t="s">
        <v>338</v>
      </c>
    </row>
    <row r="28" spans="1:12" x14ac:dyDescent="0.2">
      <c r="H28" s="154" t="s">
        <v>340</v>
      </c>
      <c r="I28" s="154" t="s">
        <v>341</v>
      </c>
    </row>
    <row r="29" spans="1:12" ht="13.2" x14ac:dyDescent="0.25">
      <c r="G29"/>
      <c r="H29" s="154"/>
      <c r="I29" s="154"/>
      <c r="J29"/>
    </row>
    <row r="30" spans="1:12" ht="13.2" x14ac:dyDescent="0.25">
      <c r="G30"/>
      <c r="H30" s="155"/>
      <c r="I30" s="155"/>
      <c r="J30"/>
    </row>
    <row r="31" spans="1:12" ht="13.2" x14ac:dyDescent="0.25">
      <c r="G31"/>
      <c r="H31" s="155"/>
      <c r="I31" s="155"/>
      <c r="J31"/>
    </row>
    <row r="32" spans="1:12" ht="13.2" x14ac:dyDescent="0.25">
      <c r="G32"/>
      <c r="H32" s="155"/>
      <c r="I32" s="155"/>
      <c r="J32"/>
    </row>
    <row r="33" spans="7:10" ht="13.2" x14ac:dyDescent="0.25">
      <c r="G33"/>
      <c r="H33" s="155"/>
      <c r="I33" s="155"/>
      <c r="J33"/>
    </row>
    <row r="34" spans="7:10" ht="13.2" x14ac:dyDescent="0.25">
      <c r="G34"/>
      <c r="H34" s="155"/>
      <c r="I34" s="155"/>
      <c r="J34"/>
    </row>
    <row r="35" spans="7:10" ht="13.2" x14ac:dyDescent="0.25">
      <c r="G35"/>
      <c r="H35" s="155"/>
      <c r="I35" s="155"/>
      <c r="J35"/>
    </row>
    <row r="36" spans="7:10" ht="13.2" x14ac:dyDescent="0.25">
      <c r="G36"/>
      <c r="H36" s="155"/>
      <c r="I36" s="155"/>
      <c r="J36"/>
    </row>
    <row r="37" spans="7:10" ht="13.2" x14ac:dyDescent="0.25">
      <c r="G37"/>
      <c r="H37" s="154"/>
      <c r="I37" s="154"/>
      <c r="J37"/>
    </row>
    <row r="38" spans="7:10" ht="13.2" x14ac:dyDescent="0.25">
      <c r="G38"/>
      <c r="H38" s="155"/>
      <c r="I38" s="155"/>
      <c r="J38"/>
    </row>
    <row r="39" spans="7:10" ht="13.2" x14ac:dyDescent="0.25">
      <c r="G39"/>
      <c r="H39" s="155"/>
      <c r="I39" s="155"/>
      <c r="J39"/>
    </row>
    <row r="40" spans="7:10" ht="13.2" x14ac:dyDescent="0.25">
      <c r="G40"/>
      <c r="H40" s="155"/>
      <c r="I40" s="155"/>
      <c r="J40"/>
    </row>
    <row r="41" spans="7:10" ht="13.2" x14ac:dyDescent="0.25">
      <c r="G41"/>
      <c r="H41" s="155"/>
      <c r="I41" s="155"/>
      <c r="J41"/>
    </row>
    <row r="42" spans="7:10" ht="13.2" x14ac:dyDescent="0.25">
      <c r="G42"/>
      <c r="H42" s="155"/>
      <c r="I42" s="155"/>
      <c r="J42"/>
    </row>
    <row r="43" spans="7:10" x14ac:dyDescent="0.2">
      <c r="H43" s="154"/>
      <c r="I43" s="154"/>
    </row>
    <row r="44" spans="7:10" x14ac:dyDescent="0.2">
      <c r="H44" s="154"/>
      <c r="I44" s="154"/>
    </row>
    <row r="45" spans="7:10" x14ac:dyDescent="0.2">
      <c r="H45" s="154"/>
      <c r="I45" s="154"/>
    </row>
    <row r="46" spans="7:10" x14ac:dyDescent="0.2">
      <c r="H46" s="154"/>
      <c r="I46" s="154"/>
    </row>
    <row r="49" spans="8:9" x14ac:dyDescent="0.2">
      <c r="H49" s="154"/>
      <c r="I49" s="154"/>
    </row>
    <row r="50" spans="8:9" x14ac:dyDescent="0.2">
      <c r="H50" s="154"/>
      <c r="I50" s="154"/>
    </row>
    <row r="51" spans="8:9" x14ac:dyDescent="0.2">
      <c r="H51" s="154"/>
      <c r="I51" s="154"/>
    </row>
    <row r="52" spans="8:9" x14ac:dyDescent="0.2">
      <c r="H52" s="154"/>
      <c r="I52" s="154"/>
    </row>
    <row r="53" spans="8:9" x14ac:dyDescent="0.2">
      <c r="H53" s="154"/>
      <c r="I53" s="154"/>
    </row>
  </sheetData>
  <sheetProtection password="CC66"/>
  <phoneticPr fontId="24" type="noConversion"/>
  <dataValidations count="2">
    <dataValidation type="list" allowBlank="1" showInputMessage="1" showErrorMessage="1" sqref="E18">
      <formula1>"0%,9%,19%"</formula1>
    </dataValidation>
    <dataValidation type="list" allowBlank="1" showInputMessage="1" showErrorMessage="1" sqref="A9:A15">
      <formula1>$H$3:$H$12</formula1>
    </dataValidation>
  </dataValidations>
  <hyperlinks>
    <hyperlink ref="I25" location="Obsah!A1" display="Obsah"/>
  </hyperlinks>
  <printOptions headings="1"/>
  <pageMargins left="0.78740157480314965" right="0.78740157480314965" top="0.98425196850393704" bottom="0.98425196850393704" header="0.4921259845" footer="0.4921259845"/>
  <pageSetup paperSize="9" orientation="portrait" horizontalDpi="4294967292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L52"/>
  <sheetViews>
    <sheetView showGridLines="0" showZeros="0" workbookViewId="0">
      <selection activeCell="E17" sqref="E17"/>
    </sheetView>
  </sheetViews>
  <sheetFormatPr defaultColWidth="10.33203125" defaultRowHeight="10.199999999999999" x14ac:dyDescent="0.2"/>
  <cols>
    <col min="1" max="1" width="9.5546875" style="83" customWidth="1"/>
    <col min="2" max="2" width="28.44140625" style="83" bestFit="1" customWidth="1"/>
    <col min="3" max="3" width="10.33203125" style="83" customWidth="1"/>
    <col min="4" max="4" width="12.5546875" style="83" bestFit="1" customWidth="1"/>
    <col min="5" max="5" width="11.5546875" style="83" bestFit="1" customWidth="1"/>
    <col min="6" max="6" width="6.109375" style="83" customWidth="1"/>
    <col min="7" max="7" width="7.44140625" style="83" customWidth="1"/>
    <col min="8" max="8" width="10.88671875" style="83" customWidth="1"/>
    <col min="9" max="9" width="31" style="83" bestFit="1" customWidth="1"/>
    <col min="10" max="10" width="10.109375" style="83" customWidth="1"/>
    <col min="11" max="11" width="31" style="83" bestFit="1" customWidth="1"/>
    <col min="12" max="16384" width="10.33203125" style="83"/>
  </cols>
  <sheetData>
    <row r="1" spans="1:12" ht="16.2" x14ac:dyDescent="0.3">
      <c r="A1" s="78"/>
      <c r="B1" s="79"/>
      <c r="C1" s="80"/>
      <c r="D1" s="81"/>
      <c r="E1" s="80"/>
      <c r="F1" s="82"/>
      <c r="H1" s="84" t="s">
        <v>282</v>
      </c>
      <c r="I1" s="85"/>
      <c r="J1" s="85"/>
    </row>
    <row r="2" spans="1:12" ht="16.2" x14ac:dyDescent="0.3">
      <c r="A2" s="86"/>
      <c r="B2" s="87"/>
      <c r="C2" s="88"/>
      <c r="D2" s="89"/>
      <c r="E2" s="88"/>
      <c r="F2" s="90"/>
      <c r="H2" s="91" t="s">
        <v>125</v>
      </c>
      <c r="I2" s="91" t="s">
        <v>283</v>
      </c>
      <c r="J2" s="91" t="s">
        <v>82</v>
      </c>
    </row>
    <row r="3" spans="1:12" ht="16.2" x14ac:dyDescent="0.3">
      <c r="A3" s="86"/>
      <c r="B3" s="87"/>
      <c r="C3" s="88"/>
      <c r="D3" s="89"/>
      <c r="E3" s="88"/>
      <c r="F3" s="90"/>
      <c r="H3" s="223" t="s">
        <v>274</v>
      </c>
      <c r="I3" s="92" t="s">
        <v>275</v>
      </c>
      <c r="J3" s="284">
        <v>210</v>
      </c>
    </row>
    <row r="4" spans="1:12" ht="16.2" x14ac:dyDescent="0.3">
      <c r="A4" s="86"/>
      <c r="B4" s="87"/>
      <c r="C4" s="88"/>
      <c r="D4" s="89"/>
      <c r="E4" s="88"/>
      <c r="F4" s="90"/>
      <c r="H4" s="223" t="s">
        <v>276</v>
      </c>
      <c r="I4" s="92" t="s">
        <v>277</v>
      </c>
      <c r="J4" s="284">
        <v>390</v>
      </c>
    </row>
    <row r="5" spans="1:12" x14ac:dyDescent="0.2">
      <c r="A5" s="94"/>
      <c r="B5" s="88"/>
      <c r="C5" s="88"/>
      <c r="D5" s="88"/>
      <c r="E5" s="88"/>
      <c r="F5" s="90"/>
      <c r="H5" s="223" t="s">
        <v>280</v>
      </c>
      <c r="I5" s="92" t="s">
        <v>281</v>
      </c>
      <c r="J5" s="284">
        <v>354</v>
      </c>
    </row>
    <row r="6" spans="1:12" x14ac:dyDescent="0.2">
      <c r="A6" s="94"/>
      <c r="B6" s="88"/>
      <c r="C6" s="88"/>
      <c r="D6" s="88"/>
      <c r="E6" s="88"/>
      <c r="F6" s="90"/>
      <c r="H6" s="223" t="s">
        <v>264</v>
      </c>
      <c r="I6" s="92" t="s">
        <v>265</v>
      </c>
      <c r="J6" s="284">
        <v>260</v>
      </c>
    </row>
    <row r="7" spans="1:12" x14ac:dyDescent="0.2">
      <c r="A7" s="94"/>
      <c r="B7" s="88"/>
      <c r="C7" s="88"/>
      <c r="D7" s="88"/>
      <c r="E7" s="88"/>
      <c r="F7" s="90"/>
      <c r="H7" s="223" t="s">
        <v>262</v>
      </c>
      <c r="I7" s="92" t="s">
        <v>263</v>
      </c>
      <c r="J7" s="284">
        <v>280</v>
      </c>
    </row>
    <row r="8" spans="1:12" ht="12.75" customHeight="1" x14ac:dyDescent="0.3">
      <c r="A8" s="95" t="s">
        <v>125</v>
      </c>
      <c r="B8" s="96" t="s">
        <v>283</v>
      </c>
      <c r="C8" s="97" t="s">
        <v>82</v>
      </c>
      <c r="D8" s="97" t="s">
        <v>342</v>
      </c>
      <c r="E8" s="97" t="s">
        <v>284</v>
      </c>
      <c r="F8" s="90"/>
      <c r="H8" s="223" t="s">
        <v>266</v>
      </c>
      <c r="I8" s="92" t="s">
        <v>278</v>
      </c>
      <c r="J8" s="284">
        <v>470</v>
      </c>
      <c r="L8" s="98"/>
    </row>
    <row r="9" spans="1:12" ht="11.25" customHeight="1" x14ac:dyDescent="0.2">
      <c r="A9" s="99" t="s">
        <v>266</v>
      </c>
      <c r="B9" s="100" t="str">
        <f>IF(VLOOKUP($A9,PRODUKTY,1,TRUE)=$A9,VLOOKUP($A9,PRODUKTY,2,TRUE),"Nenalezeno")</f>
        <v>Cabernet Sauvignon, ročník 2002</v>
      </c>
      <c r="C9" s="100">
        <f>IF(VLOOKUP($A9,PRODUKTY,1,TRUE)=$A9,VLOOKUP($A9,PRODUKTY,3,TRUE),"Nenalezeno")</f>
        <v>470</v>
      </c>
      <c r="D9" s="92">
        <v>1</v>
      </c>
      <c r="E9" s="285">
        <f>IF(ISERROR(C9*D9),0,C9*D9)</f>
        <v>470</v>
      </c>
      <c r="F9" s="90"/>
      <c r="H9" s="223" t="s">
        <v>267</v>
      </c>
      <c r="I9" s="92" t="s">
        <v>279</v>
      </c>
      <c r="J9" s="284">
        <v>350</v>
      </c>
    </row>
    <row r="10" spans="1:12" x14ac:dyDescent="0.2">
      <c r="A10" s="99" t="s">
        <v>264</v>
      </c>
      <c r="B10" s="100" t="str">
        <f>IF(VLOOKUP($A10,PRODUKTY,1,TRUE)=$A10,VLOOKUP($A10,PRODUKTY,2,TRUE),"Nenalezeno")</f>
        <v>Ryzlink rýnský</v>
      </c>
      <c r="C10" s="100">
        <f>IF(VLOOKUP($A10,PRODUKTY,1,TRUE)=$A10,VLOOKUP($A10,PRODUKTY,3,TRUE),"Nenalezeno")</f>
        <v>260</v>
      </c>
      <c r="D10" s="92">
        <v>2</v>
      </c>
      <c r="E10" s="285">
        <f t="shared" ref="E10:E15" si="0">IF(ISERROR(C10*D10),0,C10*D10)</f>
        <v>520</v>
      </c>
      <c r="F10" s="90"/>
      <c r="H10" s="223" t="s">
        <v>270</v>
      </c>
      <c r="I10" s="92" t="s">
        <v>271</v>
      </c>
      <c r="J10" s="284">
        <v>330</v>
      </c>
    </row>
    <row r="11" spans="1:12" x14ac:dyDescent="0.2">
      <c r="A11" s="99" t="s">
        <v>292</v>
      </c>
      <c r="B11" s="100" t="str">
        <f>IF(VLOOKUP($A11,PRODUKTY,1,TRUE)=$A11,VLOOKUP($A11,PRODUKTY,2,TRUE),"Nenalezeno")</f>
        <v>Nenalezeno</v>
      </c>
      <c r="C11" s="100" t="str">
        <f>IF(VLOOKUP($A11,PRODUKTY,1,TRUE)=$A11,VLOOKUP($A11,PRODUKTY,3,TRUE),"Nenalezeno")</f>
        <v>Nenalezeno</v>
      </c>
      <c r="D11" s="92">
        <v>1</v>
      </c>
      <c r="E11" s="285">
        <f t="shared" si="0"/>
        <v>0</v>
      </c>
      <c r="F11" s="90"/>
      <c r="H11" s="223" t="s">
        <v>272</v>
      </c>
      <c r="I11" s="92" t="s">
        <v>273</v>
      </c>
      <c r="J11" s="284">
        <v>370</v>
      </c>
    </row>
    <row r="12" spans="1:12" x14ac:dyDescent="0.2">
      <c r="A12" s="99" t="s">
        <v>268</v>
      </c>
      <c r="B12" s="100" t="str">
        <f>IF(VLOOKUP($A12,PRODUKTY,1,TRUE)=$A12,VLOOKUP($A12,PRODUKTY,2,TRUE),"Nenalezeno")</f>
        <v>Veltlínské zelené</v>
      </c>
      <c r="C12" s="100">
        <f>IF(VLOOKUP($A12,PRODUKTY,1,TRUE)=$A12,VLOOKUP($A12,PRODUKTY,3,TRUE),"Nenalezeno")</f>
        <v>190</v>
      </c>
      <c r="D12" s="92">
        <v>1</v>
      </c>
      <c r="E12" s="285">
        <f t="shared" si="0"/>
        <v>190</v>
      </c>
      <c r="F12" s="90"/>
      <c r="H12" s="223" t="s">
        <v>268</v>
      </c>
      <c r="I12" s="92" t="s">
        <v>269</v>
      </c>
      <c r="J12" s="284">
        <v>190</v>
      </c>
    </row>
    <row r="13" spans="1:12" ht="12.6" x14ac:dyDescent="0.2">
      <c r="A13" s="99" t="s">
        <v>276</v>
      </c>
      <c r="B13" s="100" t="str">
        <f>IF(VLOOKUP($A13,PRODUKTY,1,TRUE)=$A13,VLOOKUP($A13,PRODUKTY,2,TRUE),"Nenalezeno")</f>
        <v>Aurelius, ročník 2003</v>
      </c>
      <c r="C13" s="100">
        <f>IF(VLOOKUP($A13,PRODUKTY,1,TRUE)=$A13,VLOOKUP($A13,PRODUKTY,3,TRUE),"Nenalezeno")</f>
        <v>390</v>
      </c>
      <c r="D13" s="92">
        <v>5</v>
      </c>
      <c r="E13" s="285">
        <f t="shared" si="0"/>
        <v>1950</v>
      </c>
      <c r="F13" s="90"/>
      <c r="H13" s="102"/>
      <c r="I13" s="102"/>
      <c r="J13" s="102"/>
    </row>
    <row r="14" spans="1:12" ht="13.2" x14ac:dyDescent="0.25">
      <c r="A14" s="99"/>
      <c r="B14" s="100"/>
      <c r="C14" s="101"/>
      <c r="D14" s="92"/>
      <c r="E14" s="285">
        <f t="shared" si="0"/>
        <v>0</v>
      </c>
      <c r="F14" s="90"/>
      <c r="H14"/>
      <c r="I14"/>
      <c r="J14" s="102"/>
      <c r="K14" s="102"/>
      <c r="L14" s="102"/>
    </row>
    <row r="15" spans="1:12" ht="13.2" x14ac:dyDescent="0.25">
      <c r="A15" s="99"/>
      <c r="B15" s="100"/>
      <c r="C15" s="101"/>
      <c r="D15" s="92"/>
      <c r="E15" s="285">
        <f t="shared" si="0"/>
        <v>0</v>
      </c>
      <c r="F15" s="90"/>
      <c r="H15"/>
      <c r="I15"/>
      <c r="K15" s="102"/>
      <c r="L15" s="102"/>
    </row>
    <row r="16" spans="1:12" ht="13.2" x14ac:dyDescent="0.25">
      <c r="A16"/>
      <c r="B16"/>
      <c r="C16"/>
      <c r="D16"/>
      <c r="E16"/>
      <c r="F16" s="90"/>
      <c r="H16"/>
      <c r="I16"/>
      <c r="K16" s="102"/>
      <c r="L16" s="102"/>
    </row>
    <row r="17" spans="1:12" ht="13.2" x14ac:dyDescent="0.25">
      <c r="A17"/>
      <c r="B17"/>
      <c r="C17"/>
      <c r="D17"/>
      <c r="E17"/>
      <c r="F17" s="90"/>
      <c r="H17"/>
      <c r="I17"/>
      <c r="K17" s="102"/>
      <c r="L17" s="102"/>
    </row>
    <row r="18" spans="1:12" ht="13.2" x14ac:dyDescent="0.25">
      <c r="A18"/>
      <c r="B18"/>
      <c r="C18"/>
      <c r="D18"/>
      <c r="E18"/>
      <c r="F18" s="90"/>
      <c r="H18"/>
      <c r="I18"/>
    </row>
    <row r="19" spans="1:12" ht="12.9" customHeight="1" x14ac:dyDescent="0.25">
      <c r="A19"/>
      <c r="B19"/>
      <c r="C19"/>
      <c r="D19"/>
      <c r="E19"/>
      <c r="F19" s="90"/>
      <c r="H19"/>
      <c r="I19"/>
    </row>
    <row r="20" spans="1:12" ht="13.2" x14ac:dyDescent="0.25">
      <c r="A20"/>
      <c r="B20"/>
      <c r="C20"/>
      <c r="D20"/>
      <c r="E20"/>
      <c r="F20" s="110"/>
      <c r="H20"/>
      <c r="I20"/>
    </row>
    <row r="21" spans="1:12" ht="13.2" x14ac:dyDescent="0.25">
      <c r="A21"/>
      <c r="B21"/>
      <c r="C21"/>
      <c r="D21"/>
      <c r="E21"/>
      <c r="F21" s="110"/>
    </row>
    <row r="22" spans="1:12" ht="13.2" x14ac:dyDescent="0.25">
      <c r="A22"/>
      <c r="B22"/>
      <c r="C22"/>
      <c r="D22"/>
      <c r="E22"/>
      <c r="F22" s="110"/>
    </row>
    <row r="23" spans="1:12" ht="13.2" x14ac:dyDescent="0.25">
      <c r="A23"/>
      <c r="B23"/>
      <c r="C23"/>
      <c r="D23"/>
      <c r="E23"/>
      <c r="F23" s="110"/>
    </row>
    <row r="24" spans="1:12" ht="13.2" x14ac:dyDescent="0.25">
      <c r="A24"/>
      <c r="B24"/>
      <c r="C24"/>
      <c r="D24"/>
      <c r="E24"/>
      <c r="F24" s="110"/>
    </row>
    <row r="25" spans="1:12" ht="12" thickBot="1" x14ac:dyDescent="0.25">
      <c r="A25" s="113"/>
      <c r="B25" s="114"/>
      <c r="C25" s="114"/>
      <c r="D25" s="114"/>
      <c r="E25" s="114"/>
      <c r="F25" s="115"/>
      <c r="H25" s="50" t="s">
        <v>246</v>
      </c>
    </row>
    <row r="27" spans="1:12" x14ac:dyDescent="0.2">
      <c r="H27" s="154" t="s">
        <v>343</v>
      </c>
      <c r="I27" s="154" t="s">
        <v>344</v>
      </c>
    </row>
    <row r="28" spans="1:12" x14ac:dyDescent="0.2">
      <c r="H28" s="154"/>
      <c r="I28" s="154"/>
    </row>
    <row r="29" spans="1:12" ht="13.2" x14ac:dyDescent="0.25">
      <c r="G29"/>
      <c r="H29" s="154"/>
      <c r="I29" s="154"/>
      <c r="J29"/>
    </row>
    <row r="30" spans="1:12" ht="13.2" x14ac:dyDescent="0.25">
      <c r="G30"/>
      <c r="H30" s="155"/>
      <c r="I30" s="155"/>
      <c r="J30"/>
    </row>
    <row r="31" spans="1:12" ht="13.2" x14ac:dyDescent="0.25">
      <c r="G31"/>
      <c r="H31" s="155"/>
      <c r="I31" s="155"/>
      <c r="J31"/>
    </row>
    <row r="32" spans="1:12" ht="13.2" x14ac:dyDescent="0.25">
      <c r="G32"/>
      <c r="H32" s="155"/>
      <c r="I32" s="155"/>
      <c r="J32"/>
    </row>
    <row r="33" spans="7:10" ht="13.2" x14ac:dyDescent="0.25">
      <c r="G33"/>
      <c r="H33" s="155"/>
      <c r="I33" s="155"/>
      <c r="J33"/>
    </row>
    <row r="34" spans="7:10" ht="13.2" x14ac:dyDescent="0.25">
      <c r="G34"/>
      <c r="H34" s="155"/>
      <c r="I34" s="155"/>
      <c r="J34"/>
    </row>
    <row r="35" spans="7:10" ht="13.2" x14ac:dyDescent="0.25">
      <c r="G35"/>
      <c r="H35" s="155"/>
      <c r="I35" s="155"/>
      <c r="J35"/>
    </row>
    <row r="36" spans="7:10" ht="13.2" x14ac:dyDescent="0.25">
      <c r="G36"/>
      <c r="H36" s="155"/>
      <c r="I36" s="155"/>
      <c r="J36"/>
    </row>
    <row r="37" spans="7:10" ht="13.2" x14ac:dyDescent="0.25">
      <c r="G37"/>
      <c r="H37" s="154"/>
      <c r="I37" s="154"/>
      <c r="J37"/>
    </row>
    <row r="38" spans="7:10" ht="13.2" x14ac:dyDescent="0.25">
      <c r="G38"/>
      <c r="H38" s="155"/>
      <c r="I38" s="155"/>
      <c r="J38"/>
    </row>
    <row r="39" spans="7:10" ht="13.2" x14ac:dyDescent="0.25">
      <c r="G39"/>
      <c r="H39" s="155"/>
      <c r="I39" s="155"/>
      <c r="J39"/>
    </row>
    <row r="40" spans="7:10" ht="13.2" x14ac:dyDescent="0.25">
      <c r="G40"/>
      <c r="H40" s="155"/>
      <c r="I40" s="155"/>
      <c r="J40"/>
    </row>
    <row r="41" spans="7:10" ht="13.2" x14ac:dyDescent="0.25">
      <c r="G41"/>
      <c r="H41" s="155"/>
      <c r="I41" s="155"/>
      <c r="J41"/>
    </row>
    <row r="42" spans="7:10" ht="13.2" x14ac:dyDescent="0.25">
      <c r="G42"/>
      <c r="H42" s="155"/>
      <c r="I42" s="155"/>
      <c r="J42"/>
    </row>
    <row r="44" spans="7:10" x14ac:dyDescent="0.2">
      <c r="H44" s="154"/>
      <c r="I44" s="154"/>
    </row>
    <row r="45" spans="7:10" x14ac:dyDescent="0.2">
      <c r="H45" s="154"/>
      <c r="I45" s="154"/>
    </row>
    <row r="46" spans="7:10" x14ac:dyDescent="0.2">
      <c r="H46" s="154"/>
      <c r="I46" s="154"/>
    </row>
    <row r="47" spans="7:10" x14ac:dyDescent="0.2">
      <c r="H47" s="154"/>
      <c r="I47" s="154"/>
    </row>
    <row r="48" spans="7:10" x14ac:dyDescent="0.2">
      <c r="H48" s="154"/>
      <c r="I48" s="154"/>
    </row>
    <row r="49" spans="8:9" x14ac:dyDescent="0.2">
      <c r="H49" s="154"/>
      <c r="I49" s="154"/>
    </row>
    <row r="50" spans="8:9" x14ac:dyDescent="0.2">
      <c r="H50" s="154"/>
      <c r="I50" s="154"/>
    </row>
    <row r="51" spans="8:9" x14ac:dyDescent="0.2">
      <c r="H51" s="154"/>
      <c r="I51" s="154"/>
    </row>
    <row r="52" spans="8:9" x14ac:dyDescent="0.2">
      <c r="H52" s="154"/>
      <c r="I52" s="154"/>
    </row>
  </sheetData>
  <sheetProtection password="CC66"/>
  <phoneticPr fontId="24" type="noConversion"/>
  <hyperlinks>
    <hyperlink ref="H25" location="Obsah!A1" display="Obsah"/>
  </hyperlinks>
  <printOptions headings="1"/>
  <pageMargins left="0.78740157480314965" right="0.78740157480314965" top="0.98425196850393704" bottom="0.98425196850393704" header="0.4921259845" footer="0.4921259845"/>
  <pageSetup paperSize="9" orientation="portrait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H12"/>
  <sheetViews>
    <sheetView showGridLines="0" workbookViewId="0">
      <selection activeCell="H12" sqref="H12"/>
    </sheetView>
  </sheetViews>
  <sheetFormatPr defaultColWidth="11.44140625" defaultRowHeight="11.4" x14ac:dyDescent="0.2"/>
  <cols>
    <col min="1" max="2" width="11.44140625" style="157" customWidth="1"/>
    <col min="3" max="3" width="7.109375" style="157" customWidth="1"/>
    <col min="4" max="4" width="10.6640625" style="157" customWidth="1"/>
    <col min="5" max="5" width="7.6640625" style="157" customWidth="1"/>
    <col min="6" max="6" width="8.88671875" style="157" customWidth="1"/>
    <col min="7" max="7" width="6.44140625" style="157" customWidth="1"/>
    <col min="8" max="8" width="6.6640625" style="157" bestFit="1" customWidth="1"/>
    <col min="9" max="9" width="7.44140625" style="157" customWidth="1"/>
    <col min="10" max="10" width="8.88671875" style="157" customWidth="1"/>
    <col min="11" max="16384" width="11.44140625" style="157"/>
  </cols>
  <sheetData>
    <row r="1" spans="1:8" x14ac:dyDescent="0.2">
      <c r="A1" s="187" t="s">
        <v>125</v>
      </c>
      <c r="C1" s="188" t="s">
        <v>125</v>
      </c>
      <c r="D1" s="188" t="s">
        <v>245</v>
      </c>
    </row>
    <row r="2" spans="1:8" x14ac:dyDescent="0.2">
      <c r="A2" s="158">
        <v>111</v>
      </c>
      <c r="C2" s="192">
        <v>111</v>
      </c>
      <c r="D2" s="158" t="str">
        <f>IF(ISNA(MATCH(C2,$A$2:$A$7,0)),"ne","")</f>
        <v/>
      </c>
    </row>
    <row r="3" spans="1:8" x14ac:dyDescent="0.2">
      <c r="A3" s="158">
        <v>222</v>
      </c>
      <c r="C3" s="192">
        <v>888</v>
      </c>
      <c r="D3" s="158" t="str">
        <f t="shared" ref="D3:D9" si="0">IF(ISNA(MATCH(C3,$A$2:$A$7,0)),"ne","")</f>
        <v>ne</v>
      </c>
    </row>
    <row r="4" spans="1:8" x14ac:dyDescent="0.2">
      <c r="A4" s="158">
        <v>333</v>
      </c>
      <c r="C4" s="192">
        <v>777</v>
      </c>
      <c r="D4" s="158" t="str">
        <f t="shared" si="0"/>
        <v>ne</v>
      </c>
    </row>
    <row r="5" spans="1:8" x14ac:dyDescent="0.2">
      <c r="A5" s="158">
        <v>444</v>
      </c>
      <c r="C5" s="192">
        <v>555</v>
      </c>
      <c r="D5" s="158" t="str">
        <f t="shared" si="0"/>
        <v/>
      </c>
    </row>
    <row r="6" spans="1:8" x14ac:dyDescent="0.2">
      <c r="A6" s="158">
        <v>555</v>
      </c>
      <c r="C6" s="192">
        <v>666</v>
      </c>
      <c r="D6" s="158" t="str">
        <f t="shared" si="0"/>
        <v/>
      </c>
    </row>
    <row r="7" spans="1:8" x14ac:dyDescent="0.2">
      <c r="A7" s="158">
        <v>666</v>
      </c>
      <c r="C7" s="192">
        <v>999</v>
      </c>
      <c r="D7" s="158" t="str">
        <f t="shared" si="0"/>
        <v>ne</v>
      </c>
    </row>
    <row r="8" spans="1:8" x14ac:dyDescent="0.2">
      <c r="C8" s="192">
        <v>111</v>
      </c>
      <c r="D8" s="158" t="str">
        <f t="shared" si="0"/>
        <v/>
      </c>
    </row>
    <row r="9" spans="1:8" x14ac:dyDescent="0.2">
      <c r="C9" s="192">
        <v>222</v>
      </c>
      <c r="D9" s="158" t="str">
        <f t="shared" si="0"/>
        <v/>
      </c>
    </row>
    <row r="12" spans="1:8" x14ac:dyDescent="0.2">
      <c r="H12" s="50" t="s">
        <v>246</v>
      </c>
    </row>
  </sheetData>
  <phoneticPr fontId="14" type="noConversion"/>
  <hyperlinks>
    <hyperlink ref="H12" location="Obsah!A1" display="Obsah"/>
  </hyperlinks>
  <pageMargins left="0.78740157499999996" right="0.78740157499999996" top="0.984251969" bottom="0.984251969" header="0.4921259845" footer="0.4921259845"/>
  <pageSetup paperSize="9" orientation="portrait" horizontalDpi="3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Q6"/>
  <sheetViews>
    <sheetView showGridLines="0" workbookViewId="0">
      <selection activeCell="N6" sqref="N6"/>
    </sheetView>
  </sheetViews>
  <sheetFormatPr defaultColWidth="11.44140625" defaultRowHeight="11.4" x14ac:dyDescent="0.2"/>
  <cols>
    <col min="1" max="1" width="8.5546875" style="1" customWidth="1"/>
    <col min="2" max="2" width="11.44140625" style="1" customWidth="1"/>
    <col min="3" max="3" width="15.5546875" style="1" customWidth="1"/>
    <col min="4" max="5" width="11.44140625" style="1" customWidth="1"/>
    <col min="6" max="17" width="5.5546875" style="1" bestFit="1" customWidth="1"/>
    <col min="18" max="16384" width="11.44140625" style="1"/>
  </cols>
  <sheetData>
    <row r="1" spans="1:17" ht="12" thickBot="1" x14ac:dyDescent="0.25">
      <c r="A1" s="159" t="s">
        <v>127</v>
      </c>
      <c r="C1" s="159" t="s">
        <v>305</v>
      </c>
      <c r="F1" s="167" t="s">
        <v>293</v>
      </c>
      <c r="G1" s="167" t="s">
        <v>294</v>
      </c>
      <c r="H1" s="167" t="s">
        <v>295</v>
      </c>
      <c r="I1" s="167" t="s">
        <v>296</v>
      </c>
      <c r="J1" s="167" t="s">
        <v>297</v>
      </c>
      <c r="K1" s="167" t="s">
        <v>298</v>
      </c>
      <c r="L1" s="167" t="s">
        <v>299</v>
      </c>
      <c r="M1" s="167" t="s">
        <v>300</v>
      </c>
      <c r="N1" s="167" t="s">
        <v>301</v>
      </c>
      <c r="O1" s="167" t="s">
        <v>302</v>
      </c>
      <c r="P1" s="167" t="s">
        <v>303</v>
      </c>
      <c r="Q1" s="167" t="s">
        <v>304</v>
      </c>
    </row>
    <row r="2" spans="1:17" ht="12" thickBot="1" x14ac:dyDescent="0.25">
      <c r="A2" s="168">
        <v>6</v>
      </c>
      <c r="C2" s="5">
        <f>INDEX(F2:Q2,1,A2)</f>
        <v>200</v>
      </c>
      <c r="E2" s="169" t="s">
        <v>305</v>
      </c>
      <c r="F2" s="170">
        <v>600</v>
      </c>
      <c r="G2" s="171">
        <v>400</v>
      </c>
      <c r="H2" s="171">
        <v>100</v>
      </c>
      <c r="I2" s="171">
        <v>1000</v>
      </c>
      <c r="J2" s="171">
        <v>700</v>
      </c>
      <c r="K2" s="171">
        <v>200</v>
      </c>
      <c r="L2" s="171">
        <v>1100</v>
      </c>
      <c r="M2" s="171">
        <v>700</v>
      </c>
      <c r="N2" s="171">
        <v>1200</v>
      </c>
      <c r="O2" s="171">
        <v>300</v>
      </c>
      <c r="P2" s="171">
        <v>1000</v>
      </c>
      <c r="Q2" s="172">
        <v>400</v>
      </c>
    </row>
    <row r="6" spans="1:17" x14ac:dyDescent="0.2">
      <c r="N6" s="50" t="s">
        <v>246</v>
      </c>
    </row>
  </sheetData>
  <phoneticPr fontId="20" type="noConversion"/>
  <conditionalFormatting sqref="F2:Q2">
    <cfRule type="expression" dxfId="9" priority="1" stopIfTrue="1">
      <formula>$C$2=F2</formula>
    </cfRule>
  </conditionalFormatting>
  <dataValidations count="1">
    <dataValidation type="list" allowBlank="1" showInputMessage="1" showErrorMessage="1" sqref="A2">
      <formula1>"1,2,3,4,5,6,7,8,9,10,11,12"</formula1>
    </dataValidation>
  </dataValidations>
  <hyperlinks>
    <hyperlink ref="N6" location="Obsah!A1" display="Obsah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M43"/>
  <sheetViews>
    <sheetView showGridLines="0" workbookViewId="0"/>
  </sheetViews>
  <sheetFormatPr defaultColWidth="11.44140625" defaultRowHeight="11.4" x14ac:dyDescent="0.2"/>
  <cols>
    <col min="1" max="1" width="10.6640625" style="1" bestFit="1" customWidth="1"/>
    <col min="2" max="2" width="10.5546875" style="1" customWidth="1"/>
    <col min="3" max="3" width="3.88671875" style="1" customWidth="1"/>
    <col min="4" max="4" width="14.44140625" style="1" customWidth="1"/>
    <col min="5" max="5" width="12.88671875" style="1" customWidth="1"/>
    <col min="6" max="6" width="12" style="1" customWidth="1"/>
    <col min="7" max="9" width="8.109375" style="1" customWidth="1"/>
    <col min="10" max="10" width="9.88671875" style="1" bestFit="1" customWidth="1"/>
    <col min="11" max="11" width="6.5546875" style="1" customWidth="1"/>
    <col min="12" max="16384" width="11.44140625" style="1"/>
  </cols>
  <sheetData>
    <row r="1" spans="1:13" ht="12" thickBot="1" x14ac:dyDescent="0.25">
      <c r="F1" s="177"/>
      <c r="G1" s="178" t="s">
        <v>326</v>
      </c>
      <c r="H1" s="178" t="s">
        <v>327</v>
      </c>
      <c r="I1" s="178" t="s">
        <v>328</v>
      </c>
      <c r="J1" s="178" t="s">
        <v>329</v>
      </c>
      <c r="L1" s="50" t="s">
        <v>246</v>
      </c>
    </row>
    <row r="2" spans="1:13" x14ac:dyDescent="0.2">
      <c r="A2" s="179" t="s">
        <v>322</v>
      </c>
      <c r="B2" s="3" t="s">
        <v>316</v>
      </c>
      <c r="F2" s="180" t="s">
        <v>319</v>
      </c>
      <c r="G2" s="32">
        <v>1000</v>
      </c>
      <c r="H2" s="32">
        <v>2000</v>
      </c>
      <c r="I2" s="32">
        <v>3000</v>
      </c>
      <c r="J2" s="33">
        <v>4000</v>
      </c>
    </row>
    <row r="3" spans="1:13" x14ac:dyDescent="0.2">
      <c r="A3" s="162" t="s">
        <v>225</v>
      </c>
      <c r="B3" s="3" t="s">
        <v>327</v>
      </c>
      <c r="F3" s="181" t="s">
        <v>310</v>
      </c>
      <c r="G3" s="2">
        <v>1100</v>
      </c>
      <c r="H3" s="2">
        <v>2100</v>
      </c>
      <c r="I3" s="2">
        <v>3100</v>
      </c>
      <c r="J3" s="34">
        <v>4100</v>
      </c>
      <c r="M3" s="50"/>
    </row>
    <row r="4" spans="1:13" x14ac:dyDescent="0.2">
      <c r="A4" s="162"/>
      <c r="F4" s="181" t="s">
        <v>311</v>
      </c>
      <c r="G4" s="2">
        <v>1200</v>
      </c>
      <c r="H4" s="2">
        <v>2200</v>
      </c>
      <c r="I4" s="2">
        <v>3200</v>
      </c>
      <c r="J4" s="34">
        <v>4200</v>
      </c>
    </row>
    <row r="5" spans="1:13" x14ac:dyDescent="0.2">
      <c r="A5" s="162" t="s">
        <v>305</v>
      </c>
      <c r="B5" s="5">
        <f>VLOOKUP(B2,TABULKA_HODNOT,MATCH(B3,OBLAST,0),FALSE)</f>
        <v>2700</v>
      </c>
      <c r="D5" s="1" t="s">
        <v>333</v>
      </c>
      <c r="F5" s="181" t="s">
        <v>312</v>
      </c>
      <c r="G5" s="2">
        <v>1300</v>
      </c>
      <c r="H5" s="2">
        <v>2300</v>
      </c>
      <c r="I5" s="2">
        <v>3300</v>
      </c>
      <c r="J5" s="34">
        <v>4300</v>
      </c>
    </row>
    <row r="6" spans="1:13" x14ac:dyDescent="0.2">
      <c r="A6" s="162" t="s">
        <v>305</v>
      </c>
      <c r="B6" s="5">
        <f>INDEX(TABULKA_HODNOT,MATCH(B2,VYROBEK,0),MATCH(B3,OBLAST,0))</f>
        <v>2700</v>
      </c>
      <c r="D6" s="1" t="s">
        <v>334</v>
      </c>
      <c r="F6" s="181" t="s">
        <v>313</v>
      </c>
      <c r="G6" s="2">
        <v>1400</v>
      </c>
      <c r="H6" s="2">
        <v>2400</v>
      </c>
      <c r="I6" s="2">
        <v>3400</v>
      </c>
      <c r="J6" s="34">
        <v>4400</v>
      </c>
    </row>
    <row r="7" spans="1:13" x14ac:dyDescent="0.2">
      <c r="F7" s="181" t="s">
        <v>314</v>
      </c>
      <c r="G7" s="2">
        <v>1500</v>
      </c>
      <c r="H7" s="2">
        <v>2500</v>
      </c>
      <c r="I7" s="2">
        <v>3500</v>
      </c>
      <c r="J7" s="34">
        <v>4500</v>
      </c>
    </row>
    <row r="8" spans="1:13" x14ac:dyDescent="0.2">
      <c r="F8" s="181" t="s">
        <v>315</v>
      </c>
      <c r="G8" s="2">
        <v>1600</v>
      </c>
      <c r="H8" s="2">
        <v>2600</v>
      </c>
      <c r="I8" s="2">
        <v>3600</v>
      </c>
      <c r="J8" s="34">
        <v>4600</v>
      </c>
    </row>
    <row r="9" spans="1:13" x14ac:dyDescent="0.2">
      <c r="F9" s="181" t="s">
        <v>316</v>
      </c>
      <c r="G9" s="2">
        <v>1700</v>
      </c>
      <c r="H9" s="2">
        <v>2700</v>
      </c>
      <c r="I9" s="2">
        <v>3700</v>
      </c>
      <c r="J9" s="34">
        <v>4700</v>
      </c>
    </row>
    <row r="10" spans="1:13" x14ac:dyDescent="0.2">
      <c r="F10" s="181" t="s">
        <v>317</v>
      </c>
      <c r="G10" s="2">
        <v>1800</v>
      </c>
      <c r="H10" s="2">
        <v>2800</v>
      </c>
      <c r="I10" s="2">
        <v>3800</v>
      </c>
      <c r="J10" s="34">
        <v>4800</v>
      </c>
    </row>
    <row r="11" spans="1:13" ht="12" thickBot="1" x14ac:dyDescent="0.25">
      <c r="F11" s="182" t="s">
        <v>318</v>
      </c>
      <c r="G11" s="35">
        <v>1900</v>
      </c>
      <c r="H11" s="35">
        <v>2900</v>
      </c>
      <c r="I11" s="35">
        <v>3900</v>
      </c>
      <c r="J11" s="36">
        <v>4900</v>
      </c>
    </row>
    <row r="21" spans="1:8" ht="13.2" x14ac:dyDescent="0.25">
      <c r="A21"/>
      <c r="B21"/>
      <c r="C21"/>
    </row>
    <row r="22" spans="1:8" ht="13.2" x14ac:dyDescent="0.25">
      <c r="A22"/>
      <c r="B22"/>
      <c r="C22"/>
      <c r="F22" s="11" t="s">
        <v>148</v>
      </c>
    </row>
    <row r="23" spans="1:8" ht="13.2" x14ac:dyDescent="0.25">
      <c r="A23"/>
      <c r="B23"/>
      <c r="C23"/>
      <c r="F23" s="150"/>
      <c r="G23" s="150"/>
    </row>
    <row r="24" spans="1:8" ht="13.2" x14ac:dyDescent="0.25">
      <c r="A24"/>
      <c r="B24"/>
      <c r="C24"/>
      <c r="F24" s="150" t="s">
        <v>324</v>
      </c>
      <c r="H24" s="261" t="s">
        <v>330</v>
      </c>
    </row>
    <row r="25" spans="1:8" x14ac:dyDescent="0.2">
      <c r="F25" s="150" t="s">
        <v>323</v>
      </c>
      <c r="H25" s="261" t="s">
        <v>331</v>
      </c>
    </row>
    <row r="26" spans="1:8" x14ac:dyDescent="0.2">
      <c r="F26" s="150" t="s">
        <v>325</v>
      </c>
      <c r="G26" s="150"/>
      <c r="H26" s="261" t="s">
        <v>332</v>
      </c>
    </row>
    <row r="27" spans="1:8" x14ac:dyDescent="0.2">
      <c r="F27" s="150"/>
      <c r="G27" s="150"/>
    </row>
    <row r="28" spans="1:8" x14ac:dyDescent="0.2">
      <c r="F28" s="150"/>
      <c r="G28" s="150"/>
    </row>
    <row r="29" spans="1:8" x14ac:dyDescent="0.2">
      <c r="F29" s="150"/>
      <c r="G29" s="150"/>
    </row>
    <row r="30" spans="1:8" x14ac:dyDescent="0.2">
      <c r="F30" s="150"/>
      <c r="G30" s="150"/>
    </row>
    <row r="31" spans="1:8" x14ac:dyDescent="0.2">
      <c r="F31" s="150"/>
      <c r="G31" s="150"/>
    </row>
    <row r="33" spans="6:7" x14ac:dyDescent="0.2">
      <c r="F33" s="150"/>
      <c r="G33" s="150"/>
    </row>
    <row r="34" spans="6:7" x14ac:dyDescent="0.2">
      <c r="F34" s="150"/>
      <c r="G34" s="150"/>
    </row>
    <row r="35" spans="6:7" x14ac:dyDescent="0.2">
      <c r="F35" s="150"/>
      <c r="G35" s="150"/>
    </row>
    <row r="36" spans="6:7" x14ac:dyDescent="0.2">
      <c r="F36" s="150"/>
      <c r="G36" s="150"/>
    </row>
    <row r="37" spans="6:7" x14ac:dyDescent="0.2">
      <c r="F37" s="150"/>
      <c r="G37" s="150"/>
    </row>
    <row r="38" spans="6:7" x14ac:dyDescent="0.2">
      <c r="F38" s="150"/>
      <c r="G38" s="150"/>
    </row>
    <row r="39" spans="6:7" x14ac:dyDescent="0.2">
      <c r="F39" s="150"/>
      <c r="G39" s="150"/>
    </row>
    <row r="40" spans="6:7" x14ac:dyDescent="0.2">
      <c r="F40" s="150"/>
      <c r="G40" s="150"/>
    </row>
    <row r="41" spans="6:7" x14ac:dyDescent="0.2">
      <c r="F41" s="150"/>
      <c r="G41" s="150"/>
    </row>
    <row r="42" spans="6:7" x14ac:dyDescent="0.2">
      <c r="F42" s="150"/>
      <c r="G42" s="150"/>
    </row>
    <row r="43" spans="6:7" x14ac:dyDescent="0.2">
      <c r="F43" s="150"/>
      <c r="G43" s="150"/>
    </row>
  </sheetData>
  <phoneticPr fontId="20" type="noConversion"/>
  <conditionalFormatting sqref="G2:J11">
    <cfRule type="expression" dxfId="8" priority="1" stopIfTrue="1">
      <formula>G2=$B$5</formula>
    </cfRule>
  </conditionalFormatting>
  <dataValidations count="2">
    <dataValidation type="list" allowBlank="1" showInputMessage="1" showErrorMessage="1" sqref="B3">
      <formula1>$G$1:$J$1</formula1>
    </dataValidation>
    <dataValidation type="list" allowBlank="1" showInputMessage="1" showErrorMessage="1" sqref="B2">
      <formula1>$F$2:$F$11</formula1>
    </dataValidation>
  </dataValidations>
  <hyperlinks>
    <hyperlink ref="L1" location="Obsah!A1" display="Obsah"/>
  </hyperlink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B1:O10"/>
  <sheetViews>
    <sheetView showGridLines="0" workbookViewId="0">
      <selection activeCell="O3" sqref="O3"/>
    </sheetView>
  </sheetViews>
  <sheetFormatPr defaultColWidth="11.44140625" defaultRowHeight="11.4" x14ac:dyDescent="0.2"/>
  <cols>
    <col min="1" max="1" width="8.5546875" style="1" customWidth="1"/>
    <col min="2" max="2" width="9.5546875" style="1" bestFit="1" customWidth="1"/>
    <col min="3" max="3" width="7" style="1" customWidth="1"/>
    <col min="4" max="4" width="8.5546875" style="1" customWidth="1"/>
    <col min="5" max="5" width="15.6640625" style="1" bestFit="1" customWidth="1"/>
    <col min="6" max="6" width="10.33203125" style="1" customWidth="1"/>
    <col min="7" max="16" width="5.5546875" style="1" bestFit="1" customWidth="1"/>
    <col min="17" max="16384" width="11.44140625" style="1"/>
  </cols>
  <sheetData>
    <row r="1" spans="2:15" ht="15.75" customHeight="1" x14ac:dyDescent="0.2"/>
    <row r="2" spans="2:15" ht="13.5" customHeight="1" x14ac:dyDescent="0.2"/>
    <row r="3" spans="2:15" ht="12" thickBot="1" x14ac:dyDescent="0.25">
      <c r="B3" s="159" t="s">
        <v>225</v>
      </c>
      <c r="C3" s="159" t="s">
        <v>305</v>
      </c>
      <c r="O3" s="50" t="s">
        <v>246</v>
      </c>
    </row>
    <row r="4" spans="2:15" x14ac:dyDescent="0.2">
      <c r="B4" s="160" t="s">
        <v>327</v>
      </c>
      <c r="C4" s="161">
        <f ca="1">INT(RAND()*100)+1</f>
        <v>33</v>
      </c>
      <c r="E4" s="162" t="s">
        <v>336</v>
      </c>
      <c r="F4" s="2">
        <f ca="1">MAX(C4:C8)</f>
        <v>81</v>
      </c>
    </row>
    <row r="5" spans="2:15" x14ac:dyDescent="0.2">
      <c r="B5" s="163" t="s">
        <v>326</v>
      </c>
      <c r="C5" s="164">
        <f ca="1">INT(RAND()*100)+1</f>
        <v>81</v>
      </c>
      <c r="E5" s="162"/>
    </row>
    <row r="6" spans="2:15" ht="13.2" x14ac:dyDescent="0.25">
      <c r="B6" s="163" t="s">
        <v>328</v>
      </c>
      <c r="C6" s="164">
        <f ca="1">INT(RAND()*100)+1</f>
        <v>2</v>
      </c>
      <c r="E6" s="162" t="s">
        <v>225</v>
      </c>
      <c r="F6" s="2" t="str">
        <f ca="1">INDEX(B4:B8,MATCH(F4,C4:C8,0))</f>
        <v>Praha</v>
      </c>
      <c r="G6"/>
      <c r="H6"/>
      <c r="I6"/>
      <c r="J6"/>
      <c r="K6"/>
    </row>
    <row r="7" spans="2:15" ht="13.2" x14ac:dyDescent="0.25">
      <c r="B7" s="163" t="s">
        <v>329</v>
      </c>
      <c r="C7" s="164">
        <f ca="1">INT(RAND()*100)+1</f>
        <v>29</v>
      </c>
      <c r="E7"/>
      <c r="F7"/>
      <c r="G7"/>
      <c r="H7"/>
      <c r="I7"/>
      <c r="J7"/>
      <c r="K7"/>
    </row>
    <row r="8" spans="2:15" ht="12" thickBot="1" x14ac:dyDescent="0.25">
      <c r="B8" s="165" t="s">
        <v>335</v>
      </c>
      <c r="C8" s="166">
        <f ca="1">INT(RAND()*100)+1</f>
        <v>59</v>
      </c>
    </row>
    <row r="10" spans="2:15" x14ac:dyDescent="0.2">
      <c r="B10" s="263" t="s">
        <v>176</v>
      </c>
      <c r="E10" s="290" t="s">
        <v>337</v>
      </c>
      <c r="F10" s="217" t="str">
        <f ca="1">INDEX(B4:B8,MATCH(MAX(C4:C8),C4:C8,0))</f>
        <v>Praha</v>
      </c>
    </row>
  </sheetData>
  <phoneticPr fontId="20" type="noConversion"/>
  <conditionalFormatting sqref="B4:C8">
    <cfRule type="expression" dxfId="7" priority="1" stopIfTrue="1">
      <formula>$F$4=$C4</formula>
    </cfRule>
  </conditionalFormatting>
  <hyperlinks>
    <hyperlink ref="O3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J35"/>
  <sheetViews>
    <sheetView showGridLines="0" workbookViewId="0"/>
  </sheetViews>
  <sheetFormatPr defaultColWidth="11.44140625" defaultRowHeight="11.4" x14ac:dyDescent="0.2"/>
  <cols>
    <col min="1" max="1" width="8.6640625" style="1" bestFit="1" customWidth="1"/>
    <col min="2" max="2" width="13.44140625" style="1" bestFit="1" customWidth="1"/>
    <col min="3" max="4" width="11.5546875" style="1" bestFit="1" customWidth="1"/>
    <col min="5" max="5" width="12" style="1" customWidth="1"/>
    <col min="6" max="6" width="12.88671875" style="1" customWidth="1"/>
    <col min="7" max="16384" width="11.44140625" style="1"/>
  </cols>
  <sheetData>
    <row r="1" spans="1:10" x14ac:dyDescent="0.2">
      <c r="B1" s="186" t="s">
        <v>177</v>
      </c>
    </row>
    <row r="2" spans="1:10" x14ac:dyDescent="0.2">
      <c r="B2" s="184" t="s">
        <v>181</v>
      </c>
      <c r="C2" s="184" t="s">
        <v>178</v>
      </c>
      <c r="D2" s="184" t="s">
        <v>179</v>
      </c>
      <c r="E2" s="184" t="s">
        <v>180</v>
      </c>
      <c r="F2" s="159" t="s">
        <v>187</v>
      </c>
    </row>
    <row r="3" spans="1:10" x14ac:dyDescent="0.2">
      <c r="A3" s="185" t="s">
        <v>186</v>
      </c>
      <c r="B3" s="264">
        <v>95</v>
      </c>
      <c r="C3" s="264">
        <v>80</v>
      </c>
      <c r="D3" s="264">
        <v>97</v>
      </c>
      <c r="E3" s="264">
        <v>120</v>
      </c>
      <c r="F3" s="5" t="str">
        <f>INDEX($B$2:$E$2,MATCH(MIN(B3:E3),B3:E3,0))</f>
        <v>Dodavatel 2</v>
      </c>
    </row>
    <row r="4" spans="1:10" x14ac:dyDescent="0.2">
      <c r="A4" s="185" t="s">
        <v>182</v>
      </c>
      <c r="B4" s="264">
        <v>45</v>
      </c>
      <c r="C4" s="264">
        <v>86</v>
      </c>
      <c r="D4" s="264">
        <v>100</v>
      </c>
      <c r="E4" s="264">
        <v>60</v>
      </c>
      <c r="F4" s="5" t="str">
        <f>INDEX($B$2:$E$2,MATCH(MIN(B4:E4),B4:E4,0))</f>
        <v>Dodavatel 1</v>
      </c>
    </row>
    <row r="5" spans="1:10" x14ac:dyDescent="0.2">
      <c r="A5" s="185" t="s">
        <v>183</v>
      </c>
      <c r="B5" s="264">
        <v>100</v>
      </c>
      <c r="C5" s="264">
        <v>100</v>
      </c>
      <c r="D5" s="264">
        <v>90</v>
      </c>
      <c r="E5" s="264">
        <v>100</v>
      </c>
      <c r="F5" s="5" t="str">
        <f>INDEX($B$2:$E$2,MATCH(MIN(B5:E5),B5:E5,0))</f>
        <v>Dodavatel 3</v>
      </c>
    </row>
    <row r="6" spans="1:10" x14ac:dyDescent="0.2">
      <c r="A6" s="185" t="s">
        <v>184</v>
      </c>
      <c r="B6" s="264">
        <v>55</v>
      </c>
      <c r="C6" s="264">
        <v>100</v>
      </c>
      <c r="D6" s="264">
        <v>100</v>
      </c>
      <c r="E6" s="264">
        <v>100</v>
      </c>
      <c r="F6" s="5" t="str">
        <f>INDEX($B$2:$E$2,MATCH(MIN(B6:E6),B6:E6,0))</f>
        <v>Dodavatel 1</v>
      </c>
      <c r="J6" s="50"/>
    </row>
    <row r="7" spans="1:10" x14ac:dyDescent="0.2">
      <c r="A7" s="185" t="s">
        <v>185</v>
      </c>
      <c r="B7" s="264">
        <v>95</v>
      </c>
      <c r="C7" s="264">
        <v>75</v>
      </c>
      <c r="D7" s="264">
        <v>78</v>
      </c>
      <c r="E7" s="264">
        <v>100</v>
      </c>
      <c r="F7" s="5" t="str">
        <f>INDEX($B$2:$E$2,MATCH(MIN(B7:E7),B7:E7,0))</f>
        <v>Dodavatel 2</v>
      </c>
    </row>
    <row r="11" spans="1:10" x14ac:dyDescent="0.2">
      <c r="B11" s="145"/>
      <c r="C11" s="145"/>
      <c r="F11" s="50" t="s">
        <v>246</v>
      </c>
    </row>
    <row r="18" spans="7:8" x14ac:dyDescent="0.2">
      <c r="G18" s="150"/>
      <c r="H18" s="150"/>
    </row>
    <row r="19" spans="7:8" x14ac:dyDescent="0.2">
      <c r="G19" s="150"/>
      <c r="H19" s="150"/>
    </row>
    <row r="20" spans="7:8" x14ac:dyDescent="0.2">
      <c r="G20" s="150"/>
      <c r="H20" s="150"/>
    </row>
    <row r="21" spans="7:8" x14ac:dyDescent="0.2">
      <c r="G21" s="150"/>
      <c r="H21" s="150"/>
    </row>
    <row r="23" spans="7:8" x14ac:dyDescent="0.2">
      <c r="G23" s="150"/>
      <c r="H23" s="150"/>
    </row>
    <row r="24" spans="7:8" x14ac:dyDescent="0.2">
      <c r="G24" s="150"/>
      <c r="H24" s="150"/>
    </row>
    <row r="25" spans="7:8" x14ac:dyDescent="0.2">
      <c r="G25" s="150"/>
      <c r="H25" s="150"/>
    </row>
    <row r="26" spans="7:8" x14ac:dyDescent="0.2">
      <c r="G26" s="150"/>
      <c r="H26" s="150"/>
    </row>
    <row r="27" spans="7:8" x14ac:dyDescent="0.2">
      <c r="G27" s="150"/>
      <c r="H27" s="150"/>
    </row>
    <row r="28" spans="7:8" x14ac:dyDescent="0.2">
      <c r="G28" s="150"/>
      <c r="H28" s="150"/>
    </row>
    <row r="29" spans="7:8" x14ac:dyDescent="0.2">
      <c r="G29" s="150"/>
      <c r="H29" s="150"/>
    </row>
    <row r="30" spans="7:8" x14ac:dyDescent="0.2">
      <c r="G30" s="150"/>
      <c r="H30" s="150"/>
    </row>
    <row r="31" spans="7:8" x14ac:dyDescent="0.2">
      <c r="G31" s="150"/>
      <c r="H31" s="150"/>
    </row>
    <row r="32" spans="7:8" x14ac:dyDescent="0.2">
      <c r="G32" s="150"/>
      <c r="H32" s="150"/>
    </row>
    <row r="33" spans="7:8" x14ac:dyDescent="0.2">
      <c r="G33" s="150"/>
      <c r="H33" s="150"/>
    </row>
    <row r="34" spans="7:8" x14ac:dyDescent="0.2">
      <c r="G34" s="150"/>
      <c r="H34" s="150"/>
    </row>
    <row r="35" spans="7:8" x14ac:dyDescent="0.2">
      <c r="G35" s="150"/>
      <c r="H35" s="150"/>
    </row>
  </sheetData>
  <phoneticPr fontId="20" type="noConversion"/>
  <hyperlinks>
    <hyperlink ref="F11" location="Obsah!A1" display="Obsah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R31"/>
  <sheetViews>
    <sheetView showGridLines="0" workbookViewId="0">
      <selection activeCell="Q6" sqref="Q6"/>
    </sheetView>
  </sheetViews>
  <sheetFormatPr defaultColWidth="9.88671875" defaultRowHeight="13.2" x14ac:dyDescent="0.25"/>
  <cols>
    <col min="1" max="1" width="10.109375" bestFit="1" customWidth="1"/>
    <col min="2" max="2" width="11.109375" customWidth="1"/>
    <col min="3" max="3" width="3.6640625" bestFit="1" customWidth="1"/>
    <col min="4" max="4" width="11.109375" bestFit="1" customWidth="1"/>
    <col min="5" max="5" width="8.33203125" bestFit="1" customWidth="1"/>
    <col min="6" max="8" width="7.88671875" customWidth="1"/>
    <col min="9" max="9" width="7.88671875" style="201" customWidth="1"/>
    <col min="10" max="10" width="6.88671875" style="201" bestFit="1" customWidth="1"/>
    <col min="11" max="11" width="5" style="201" bestFit="1" customWidth="1"/>
    <col min="12" max="13" width="4.5546875" style="201" bestFit="1" customWidth="1"/>
    <col min="14" max="16" width="4.6640625" style="201" bestFit="1" customWidth="1"/>
    <col min="17" max="17" width="9.88671875" style="201" customWidth="1"/>
    <col min="18" max="18" width="9.109375" style="201" bestFit="1" customWidth="1"/>
    <col min="19" max="19" width="5.33203125" style="201" customWidth="1"/>
    <col min="20" max="16384" width="9.88671875" style="201"/>
  </cols>
  <sheetData>
    <row r="1" spans="1:18" x14ac:dyDescent="0.25">
      <c r="A1" s="159" t="s">
        <v>320</v>
      </c>
      <c r="B1" s="289">
        <v>26</v>
      </c>
      <c r="E1" s="200" t="s">
        <v>367</v>
      </c>
      <c r="F1" s="201"/>
      <c r="G1" s="201"/>
      <c r="H1" s="201"/>
    </row>
    <row r="2" spans="1:18" x14ac:dyDescent="0.25">
      <c r="A2" s="159" t="s">
        <v>321</v>
      </c>
      <c r="B2" s="289" t="s">
        <v>10</v>
      </c>
      <c r="E2" s="201"/>
      <c r="F2" s="202" t="s">
        <v>321</v>
      </c>
      <c r="G2" s="201"/>
      <c r="H2" s="201"/>
    </row>
    <row r="3" spans="1:18" ht="13.8" thickBot="1" x14ac:dyDescent="0.3">
      <c r="A3" s="1"/>
      <c r="B3" s="201"/>
      <c r="E3" s="202" t="s">
        <v>320</v>
      </c>
      <c r="F3" s="203" t="s">
        <v>11</v>
      </c>
      <c r="G3" s="203" t="s">
        <v>10</v>
      </c>
      <c r="H3" s="203" t="s">
        <v>12</v>
      </c>
      <c r="I3" s="203" t="s">
        <v>13</v>
      </c>
    </row>
    <row r="4" spans="1:18" ht="13.8" thickBot="1" x14ac:dyDescent="0.3">
      <c r="A4" s="159" t="s">
        <v>368</v>
      </c>
      <c r="B4" s="204">
        <f>VLOOKUP(B1,E4:I7,MATCH(B2,F3:I3,0)+1)</f>
        <v>31</v>
      </c>
      <c r="E4" s="205">
        <v>0</v>
      </c>
      <c r="F4" s="206">
        <v>16.100000000000001</v>
      </c>
      <c r="G4" s="206">
        <v>23.3</v>
      </c>
      <c r="H4" s="206">
        <v>27.4</v>
      </c>
      <c r="I4" s="207">
        <v>30.8</v>
      </c>
    </row>
    <row r="5" spans="1:18" x14ac:dyDescent="0.25">
      <c r="E5" s="208">
        <v>20</v>
      </c>
      <c r="F5" s="209">
        <v>18.8</v>
      </c>
      <c r="G5" s="209">
        <v>27.1</v>
      </c>
      <c r="H5" s="209">
        <v>32</v>
      </c>
      <c r="I5" s="210">
        <v>35.9</v>
      </c>
      <c r="R5"/>
    </row>
    <row r="6" spans="1:18" x14ac:dyDescent="0.25">
      <c r="E6" s="208">
        <v>24</v>
      </c>
      <c r="F6" s="209">
        <v>21.5</v>
      </c>
      <c r="G6" s="209">
        <v>31</v>
      </c>
      <c r="H6" s="209">
        <v>36.5</v>
      </c>
      <c r="I6" s="210">
        <v>41</v>
      </c>
      <c r="Q6" s="50" t="s">
        <v>246</v>
      </c>
    </row>
    <row r="7" spans="1:18" ht="13.8" thickBot="1" x14ac:dyDescent="0.3">
      <c r="E7" s="211">
        <v>30</v>
      </c>
      <c r="F7" s="212">
        <v>26.8</v>
      </c>
      <c r="G7" s="212">
        <v>38.700000000000003</v>
      </c>
      <c r="H7" s="212">
        <v>45.6</v>
      </c>
      <c r="I7" s="213">
        <v>51.2</v>
      </c>
    </row>
    <row r="9" spans="1:18" ht="21" customHeight="1" x14ac:dyDescent="0.25"/>
    <row r="10" spans="1:18" x14ac:dyDescent="0.25">
      <c r="I10"/>
      <c r="J10"/>
      <c r="K10"/>
      <c r="L10" s="214"/>
      <c r="M10" s="214"/>
      <c r="N10" s="214"/>
      <c r="O10" s="214"/>
      <c r="P10" s="214"/>
    </row>
    <row r="11" spans="1:18" x14ac:dyDescent="0.25">
      <c r="I11"/>
      <c r="J11"/>
      <c r="K11"/>
    </row>
    <row r="12" spans="1:18" x14ac:dyDescent="0.25">
      <c r="I12"/>
      <c r="J12"/>
      <c r="K12"/>
    </row>
    <row r="13" spans="1:18" x14ac:dyDescent="0.25">
      <c r="I13"/>
      <c r="J13"/>
      <c r="K13"/>
    </row>
    <row r="14" spans="1:18" x14ac:dyDescent="0.25">
      <c r="I14"/>
      <c r="J14"/>
      <c r="K14"/>
    </row>
    <row r="15" spans="1:18" x14ac:dyDescent="0.25">
      <c r="I15"/>
      <c r="J15"/>
      <c r="K15"/>
    </row>
    <row r="16" spans="1:18" x14ac:dyDescent="0.25">
      <c r="I16"/>
      <c r="J16"/>
      <c r="K16"/>
    </row>
    <row r="17" spans="9:11" x14ac:dyDescent="0.25">
      <c r="I17"/>
      <c r="J17"/>
      <c r="K17"/>
    </row>
    <row r="18" spans="9:11" x14ac:dyDescent="0.25">
      <c r="I18"/>
      <c r="J18"/>
      <c r="K18"/>
    </row>
    <row r="19" spans="9:11" x14ac:dyDescent="0.25">
      <c r="I19"/>
      <c r="J19"/>
      <c r="K19"/>
    </row>
    <row r="20" spans="9:11" x14ac:dyDescent="0.25">
      <c r="I20"/>
      <c r="J20"/>
      <c r="K20"/>
    </row>
    <row r="21" spans="9:11" x14ac:dyDescent="0.25">
      <c r="I21"/>
      <c r="J21"/>
      <c r="K21"/>
    </row>
    <row r="22" spans="9:11" x14ac:dyDescent="0.25">
      <c r="I22"/>
      <c r="J22"/>
      <c r="K22"/>
    </row>
    <row r="23" spans="9:11" x14ac:dyDescent="0.25">
      <c r="I23"/>
      <c r="J23"/>
      <c r="K23"/>
    </row>
    <row r="24" spans="9:11" x14ac:dyDescent="0.25">
      <c r="I24"/>
      <c r="J24"/>
      <c r="K24"/>
    </row>
    <row r="25" spans="9:11" x14ac:dyDescent="0.25">
      <c r="I25"/>
      <c r="J25"/>
      <c r="K25"/>
    </row>
    <row r="26" spans="9:11" x14ac:dyDescent="0.25">
      <c r="I26"/>
      <c r="J26"/>
      <c r="K26"/>
    </row>
    <row r="27" spans="9:11" x14ac:dyDescent="0.25">
      <c r="I27"/>
      <c r="J27"/>
      <c r="K27"/>
    </row>
    <row r="28" spans="9:11" x14ac:dyDescent="0.25">
      <c r="I28"/>
      <c r="J28"/>
      <c r="K28"/>
    </row>
    <row r="29" spans="9:11" x14ac:dyDescent="0.25">
      <c r="I29"/>
      <c r="J29"/>
      <c r="K29"/>
    </row>
    <row r="30" spans="9:11" x14ac:dyDescent="0.25">
      <c r="I30"/>
      <c r="J30"/>
      <c r="K30"/>
    </row>
    <row r="31" spans="9:11" x14ac:dyDescent="0.25">
      <c r="I31"/>
      <c r="J31"/>
      <c r="K31"/>
    </row>
  </sheetData>
  <phoneticPr fontId="20" type="noConversion"/>
  <conditionalFormatting sqref="F4:I7">
    <cfRule type="expression" dxfId="6" priority="1" stopIfTrue="1">
      <formula>$B$4=F4</formula>
    </cfRule>
  </conditionalFormatting>
  <dataValidations count="2">
    <dataValidation type="list" allowBlank="1" showInputMessage="1" showErrorMessage="1" sqref="B2">
      <formula1>$F$3:$I$3</formula1>
    </dataValidation>
    <dataValidation type="list" allowBlank="1" showInputMessage="1" showErrorMessage="1" sqref="B1">
      <formula1>"20,21,22,23,24,25,26,27,28,29,30,31,32,33,34,35"</formula1>
    </dataValidation>
  </dataValidations>
  <hyperlinks>
    <hyperlink ref="Q6" location="Obsah!A1" display="Obsah"/>
  </hyperlinks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47"/>
  <sheetViews>
    <sheetView showGridLines="0" workbookViewId="0"/>
  </sheetViews>
  <sheetFormatPr defaultColWidth="10.33203125" defaultRowHeight="10.199999999999999" x14ac:dyDescent="0.2"/>
  <cols>
    <col min="1" max="1" width="10.33203125" style="239" customWidth="1"/>
    <col min="2" max="2" width="12.33203125" style="239" customWidth="1"/>
    <col min="3" max="4" width="10.33203125" style="239" customWidth="1"/>
    <col min="5" max="5" width="15.88671875" style="239" customWidth="1"/>
    <col min="6" max="7" width="10.33203125" style="239" customWidth="1"/>
    <col min="8" max="8" width="3.5546875" style="239" customWidth="1"/>
    <col min="9" max="10" width="10.33203125" style="239" customWidth="1"/>
    <col min="11" max="11" width="2.6640625" style="239" customWidth="1"/>
    <col min="12" max="16384" width="10.33203125" style="239"/>
  </cols>
  <sheetData>
    <row r="1" spans="1:13" x14ac:dyDescent="0.2">
      <c r="B1" s="240"/>
      <c r="F1" s="241" t="s">
        <v>188</v>
      </c>
      <c r="I1" s="241" t="s">
        <v>189</v>
      </c>
      <c r="L1" s="241" t="s">
        <v>190</v>
      </c>
    </row>
    <row r="2" spans="1:13" x14ac:dyDescent="0.2">
      <c r="B2" s="240"/>
      <c r="F2" s="239" t="s">
        <v>191</v>
      </c>
      <c r="G2" s="239" t="s">
        <v>82</v>
      </c>
      <c r="I2" s="239" t="s">
        <v>191</v>
      </c>
      <c r="J2" s="239" t="s">
        <v>82</v>
      </c>
      <c r="L2" s="239" t="s">
        <v>191</v>
      </c>
      <c r="M2" s="239" t="s">
        <v>82</v>
      </c>
    </row>
    <row r="3" spans="1:13" x14ac:dyDescent="0.2">
      <c r="B3" s="240"/>
      <c r="F3" s="242" t="s">
        <v>69</v>
      </c>
      <c r="G3" s="242">
        <v>110</v>
      </c>
      <c r="I3" s="242" t="s">
        <v>69</v>
      </c>
      <c r="J3" s="242">
        <v>130</v>
      </c>
      <c r="L3" s="242" t="s">
        <v>69</v>
      </c>
      <c r="M3" s="242">
        <v>118</v>
      </c>
    </row>
    <row r="4" spans="1:13" x14ac:dyDescent="0.2">
      <c r="F4" s="242" t="s">
        <v>70</v>
      </c>
      <c r="G4" s="242">
        <v>120</v>
      </c>
      <c r="I4" s="242" t="s">
        <v>70</v>
      </c>
      <c r="J4" s="242">
        <v>135</v>
      </c>
      <c r="L4" s="242" t="s">
        <v>70</v>
      </c>
      <c r="M4" s="242">
        <v>112</v>
      </c>
    </row>
    <row r="5" spans="1:13" x14ac:dyDescent="0.2">
      <c r="B5" s="240"/>
      <c r="C5" s="240"/>
      <c r="D5" s="240"/>
      <c r="F5" s="242" t="s">
        <v>71</v>
      </c>
      <c r="G5" s="242">
        <v>130</v>
      </c>
      <c r="I5" s="242" t="s">
        <v>71</v>
      </c>
      <c r="J5" s="242">
        <v>140</v>
      </c>
      <c r="L5" s="242" t="s">
        <v>71</v>
      </c>
      <c r="M5" s="242">
        <v>122</v>
      </c>
    </row>
    <row r="6" spans="1:13" x14ac:dyDescent="0.2">
      <c r="B6" s="240"/>
      <c r="C6" s="240"/>
      <c r="D6" s="240"/>
      <c r="F6" s="242" t="s">
        <v>72</v>
      </c>
      <c r="G6" s="242">
        <v>140</v>
      </c>
      <c r="I6" s="242" t="s">
        <v>72</v>
      </c>
      <c r="J6" s="242">
        <v>145</v>
      </c>
      <c r="L6" s="242" t="s">
        <v>72</v>
      </c>
      <c r="M6" s="242">
        <v>114</v>
      </c>
    </row>
    <row r="7" spans="1:13" x14ac:dyDescent="0.2">
      <c r="B7" s="240"/>
      <c r="C7" s="240"/>
      <c r="D7" s="240"/>
      <c r="F7" s="242" t="s">
        <v>73</v>
      </c>
      <c r="G7" s="242">
        <v>150</v>
      </c>
      <c r="I7" s="242" t="s">
        <v>73</v>
      </c>
      <c r="J7" s="242">
        <v>150</v>
      </c>
      <c r="L7" s="242" t="s">
        <v>73</v>
      </c>
      <c r="M7" s="242">
        <v>160</v>
      </c>
    </row>
    <row r="9" spans="1:13" x14ac:dyDescent="0.2">
      <c r="A9" s="241" t="s">
        <v>191</v>
      </c>
      <c r="B9" s="241" t="s">
        <v>195</v>
      </c>
      <c r="C9" s="241" t="s">
        <v>82</v>
      </c>
    </row>
    <row r="10" spans="1:13" x14ac:dyDescent="0.2">
      <c r="A10" s="243" t="s">
        <v>69</v>
      </c>
      <c r="B10" s="243" t="s">
        <v>74</v>
      </c>
      <c r="C10" s="243">
        <f ca="1">VLOOKUP(A10,INDIRECT("Zone"&amp;B10),2,FALSE)</f>
        <v>110</v>
      </c>
      <c r="F10" s="241" t="s">
        <v>192</v>
      </c>
    </row>
    <row r="11" spans="1:13" x14ac:dyDescent="0.2">
      <c r="A11" s="243" t="s">
        <v>70</v>
      </c>
      <c r="B11" s="243" t="s">
        <v>75</v>
      </c>
      <c r="C11" s="243">
        <f ca="1">VLOOKUP(A11,INDIRECT("Zone"&amp;B11),2,FALSE)</f>
        <v>135</v>
      </c>
      <c r="F11" s="242" t="s">
        <v>74</v>
      </c>
    </row>
    <row r="12" spans="1:13" x14ac:dyDescent="0.2">
      <c r="A12" s="243" t="s">
        <v>71</v>
      </c>
      <c r="B12" s="243" t="s">
        <v>193</v>
      </c>
      <c r="C12" s="243">
        <f ca="1">VLOOKUP(A12,INDIRECT("Zone"&amp;B12),2,FALSE)</f>
        <v>122</v>
      </c>
      <c r="F12" s="242" t="s">
        <v>75</v>
      </c>
    </row>
    <row r="13" spans="1:13" x14ac:dyDescent="0.2">
      <c r="A13" s="243" t="s">
        <v>72</v>
      </c>
      <c r="B13" s="243" t="s">
        <v>74</v>
      </c>
      <c r="C13" s="243">
        <f ca="1">VLOOKUP(A13,INDIRECT("Zone"&amp;B13),2,FALSE)</f>
        <v>140</v>
      </c>
      <c r="F13" s="242" t="s">
        <v>193</v>
      </c>
    </row>
    <row r="14" spans="1:13" x14ac:dyDescent="0.2">
      <c r="A14" s="243" t="s">
        <v>73</v>
      </c>
      <c r="B14" s="243" t="s">
        <v>75</v>
      </c>
      <c r="C14" s="243">
        <f ca="1">VLOOKUP(A14,INDIRECT("Zone"&amp;B14),2,FALSE)</f>
        <v>150</v>
      </c>
    </row>
    <row r="15" spans="1:13" x14ac:dyDescent="0.2">
      <c r="A15" s="243"/>
      <c r="B15" s="243"/>
      <c r="C15" s="243"/>
      <c r="F15" s="244"/>
      <c r="G15" s="244"/>
    </row>
    <row r="16" spans="1:13" x14ac:dyDescent="0.2">
      <c r="F16" s="244"/>
      <c r="G16" s="244"/>
    </row>
    <row r="17" spans="3:7" x14ac:dyDescent="0.2">
      <c r="F17" s="244"/>
      <c r="G17" s="244"/>
    </row>
    <row r="18" spans="3:7" x14ac:dyDescent="0.2">
      <c r="F18" s="245" t="s">
        <v>148</v>
      </c>
      <c r="G18" s="244"/>
    </row>
    <row r="19" spans="3:7" ht="11.4" x14ac:dyDescent="0.2">
      <c r="C19" s="50" t="s">
        <v>246</v>
      </c>
    </row>
    <row r="20" spans="3:7" x14ac:dyDescent="0.2">
      <c r="F20" s="244" t="s">
        <v>194</v>
      </c>
      <c r="G20" s="244" t="s">
        <v>358</v>
      </c>
    </row>
    <row r="21" spans="3:7" x14ac:dyDescent="0.2">
      <c r="F21" s="244" t="s">
        <v>76</v>
      </c>
      <c r="G21" s="244" t="s">
        <v>359</v>
      </c>
    </row>
    <row r="22" spans="3:7" x14ac:dyDescent="0.2">
      <c r="F22" s="244" t="s">
        <v>77</v>
      </c>
      <c r="G22" s="244" t="s">
        <v>360</v>
      </c>
    </row>
    <row r="23" spans="3:7" x14ac:dyDescent="0.2">
      <c r="F23" s="244"/>
      <c r="G23" s="244"/>
    </row>
    <row r="24" spans="3:7" x14ac:dyDescent="0.2">
      <c r="F24" s="244"/>
      <c r="G24" s="244"/>
    </row>
    <row r="25" spans="3:7" x14ac:dyDescent="0.2">
      <c r="F25" s="244"/>
      <c r="G25" s="244"/>
    </row>
    <row r="26" spans="3:7" ht="11.4" x14ac:dyDescent="0.2">
      <c r="F26" s="118"/>
      <c r="G26" s="244"/>
    </row>
    <row r="27" spans="3:7" x14ac:dyDescent="0.2">
      <c r="F27" s="244"/>
      <c r="G27" s="244"/>
    </row>
    <row r="28" spans="3:7" x14ac:dyDescent="0.2">
      <c r="F28" s="244"/>
      <c r="G28" s="244"/>
    </row>
    <row r="29" spans="3:7" x14ac:dyDescent="0.2">
      <c r="F29" s="244"/>
      <c r="G29" s="244"/>
    </row>
    <row r="30" spans="3:7" x14ac:dyDescent="0.2">
      <c r="F30" s="244"/>
      <c r="G30" s="244"/>
    </row>
    <row r="31" spans="3:7" x14ac:dyDescent="0.2">
      <c r="F31" s="244"/>
      <c r="G31" s="244"/>
    </row>
    <row r="32" spans="3:7" x14ac:dyDescent="0.2">
      <c r="F32" s="244"/>
      <c r="G32" s="244"/>
    </row>
    <row r="33" spans="6:7" x14ac:dyDescent="0.2">
      <c r="F33" s="244"/>
      <c r="G33" s="244"/>
    </row>
    <row r="34" spans="6:7" x14ac:dyDescent="0.2">
      <c r="F34" s="244"/>
      <c r="G34" s="244"/>
    </row>
    <row r="35" spans="6:7" x14ac:dyDescent="0.2">
      <c r="F35" s="244"/>
      <c r="G35" s="244"/>
    </row>
    <row r="36" spans="6:7" x14ac:dyDescent="0.2">
      <c r="F36" s="244"/>
      <c r="G36" s="244"/>
    </row>
    <row r="37" spans="6:7" x14ac:dyDescent="0.2">
      <c r="F37" s="244"/>
      <c r="G37" s="244"/>
    </row>
    <row r="38" spans="6:7" x14ac:dyDescent="0.2">
      <c r="F38" s="244"/>
      <c r="G38" s="244"/>
    </row>
    <row r="39" spans="6:7" x14ac:dyDescent="0.2">
      <c r="F39" s="244"/>
      <c r="G39" s="244"/>
    </row>
    <row r="40" spans="6:7" x14ac:dyDescent="0.2">
      <c r="F40" s="244"/>
      <c r="G40" s="244"/>
    </row>
    <row r="41" spans="6:7" x14ac:dyDescent="0.2">
      <c r="F41" s="244"/>
      <c r="G41" s="244"/>
    </row>
    <row r="42" spans="6:7" x14ac:dyDescent="0.2">
      <c r="F42" s="244"/>
      <c r="G42" s="244"/>
    </row>
    <row r="43" spans="6:7" x14ac:dyDescent="0.2">
      <c r="F43" s="244"/>
      <c r="G43" s="244"/>
    </row>
    <row r="44" spans="6:7" x14ac:dyDescent="0.2">
      <c r="F44" s="244"/>
      <c r="G44" s="244"/>
    </row>
    <row r="45" spans="6:7" x14ac:dyDescent="0.2">
      <c r="F45" s="244"/>
      <c r="G45" s="244"/>
    </row>
    <row r="46" spans="6:7" x14ac:dyDescent="0.2">
      <c r="F46" s="244"/>
      <c r="G46" s="244"/>
    </row>
    <row r="47" spans="6:7" x14ac:dyDescent="0.2">
      <c r="F47" s="244"/>
      <c r="G47" s="244"/>
    </row>
  </sheetData>
  <phoneticPr fontId="20" type="noConversion"/>
  <conditionalFormatting sqref="I3:J7">
    <cfRule type="expression" dxfId="5" priority="1" stopIfTrue="1">
      <formula>$B$3="Italie"</formula>
    </cfRule>
  </conditionalFormatting>
  <conditionalFormatting sqref="F3:G7">
    <cfRule type="expression" dxfId="4" priority="2" stopIfTrue="1">
      <formula>$B$3="France"</formula>
    </cfRule>
  </conditionalFormatting>
  <conditionalFormatting sqref="L3:M7">
    <cfRule type="expression" dxfId="3" priority="3" stopIfTrue="1">
      <formula>$B$3="Espagne"</formula>
    </cfRule>
  </conditionalFormatting>
  <dataValidations count="1">
    <dataValidation type="list" allowBlank="1" showInputMessage="1" showErrorMessage="1" sqref="B10:B15">
      <formula1>$F$11:$F$13</formula1>
    </dataValidation>
  </dataValidations>
  <hyperlinks>
    <hyperlink ref="C19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29"/>
  <sheetViews>
    <sheetView showGridLines="0" workbookViewId="0">
      <selection activeCell="I11" sqref="I11"/>
    </sheetView>
  </sheetViews>
  <sheetFormatPr defaultColWidth="10.33203125" defaultRowHeight="10.199999999999999" x14ac:dyDescent="0.2"/>
  <cols>
    <col min="1" max="1" width="10.33203125" style="239" customWidth="1"/>
    <col min="2" max="2" width="12.33203125" style="239" customWidth="1"/>
    <col min="3" max="16384" width="10.33203125" style="239"/>
  </cols>
  <sheetData>
    <row r="1" spans="1:13" x14ac:dyDescent="0.2">
      <c r="B1" s="240"/>
      <c r="H1" s="241"/>
      <c r="K1" s="241"/>
      <c r="L1" s="241"/>
    </row>
    <row r="2" spans="1:13" ht="12.6" x14ac:dyDescent="0.2">
      <c r="B2" s="240"/>
      <c r="H2" s="239" t="s">
        <v>191</v>
      </c>
      <c r="I2" s="246" t="s">
        <v>74</v>
      </c>
      <c r="J2" s="246" t="s">
        <v>75</v>
      </c>
      <c r="K2" s="246" t="s">
        <v>193</v>
      </c>
      <c r="L2" s="247"/>
      <c r="M2" s="247"/>
    </row>
    <row r="3" spans="1:13" ht="12.6" x14ac:dyDescent="0.2">
      <c r="B3" s="240"/>
      <c r="H3" s="243" t="s">
        <v>69</v>
      </c>
      <c r="I3" s="242">
        <v>110</v>
      </c>
      <c r="J3" s="242">
        <v>130</v>
      </c>
      <c r="K3" s="242">
        <v>111</v>
      </c>
      <c r="L3" s="247"/>
      <c r="M3" s="247"/>
    </row>
    <row r="4" spans="1:13" ht="12.6" x14ac:dyDescent="0.2">
      <c r="H4" s="243" t="s">
        <v>70</v>
      </c>
      <c r="I4" s="242">
        <v>120</v>
      </c>
      <c r="J4" s="242">
        <v>135</v>
      </c>
      <c r="K4" s="242">
        <v>112</v>
      </c>
      <c r="L4" s="247"/>
      <c r="M4" s="247"/>
    </row>
    <row r="5" spans="1:13" ht="12.6" x14ac:dyDescent="0.2">
      <c r="B5" s="240"/>
      <c r="C5" s="240"/>
      <c r="D5" s="240"/>
      <c r="H5" s="243" t="s">
        <v>71</v>
      </c>
      <c r="I5" s="242">
        <v>130</v>
      </c>
      <c r="J5" s="242">
        <v>140</v>
      </c>
      <c r="K5" s="242">
        <v>113</v>
      </c>
      <c r="L5" s="247"/>
      <c r="M5" s="247"/>
    </row>
    <row r="6" spans="1:13" ht="12.6" x14ac:dyDescent="0.2">
      <c r="B6" s="240"/>
      <c r="C6" s="240"/>
      <c r="D6" s="240"/>
      <c r="H6" s="243" t="s">
        <v>72</v>
      </c>
      <c r="I6" s="242">
        <v>140</v>
      </c>
      <c r="J6" s="242">
        <v>145</v>
      </c>
      <c r="K6" s="242">
        <v>114</v>
      </c>
      <c r="L6" s="247"/>
      <c r="M6" s="247"/>
    </row>
    <row r="7" spans="1:13" ht="12.6" x14ac:dyDescent="0.2">
      <c r="B7" s="240"/>
      <c r="C7" s="240"/>
      <c r="D7" s="240"/>
      <c r="H7" s="243" t="s">
        <v>73</v>
      </c>
      <c r="I7" s="242">
        <v>150</v>
      </c>
      <c r="J7" s="242">
        <v>150</v>
      </c>
      <c r="K7" s="242">
        <v>115</v>
      </c>
      <c r="L7" s="247"/>
      <c r="M7" s="247"/>
    </row>
    <row r="8" spans="1:13" ht="12.6" x14ac:dyDescent="0.2">
      <c r="K8" s="247"/>
      <c r="L8" s="247"/>
      <c r="M8" s="247"/>
    </row>
    <row r="9" spans="1:13" x14ac:dyDescent="0.2">
      <c r="A9" s="241" t="s">
        <v>191</v>
      </c>
      <c r="B9" s="241" t="s">
        <v>195</v>
      </c>
      <c r="C9" s="241" t="s">
        <v>82</v>
      </c>
    </row>
    <row r="10" spans="1:13" x14ac:dyDescent="0.2">
      <c r="A10" s="243" t="s">
        <v>69</v>
      </c>
      <c r="B10" s="243" t="s">
        <v>74</v>
      </c>
      <c r="C10" s="243">
        <f>VLOOKUP($A$10,$H$3:$K$7,MATCH(B10,$I$2:$K$2,0)+1,FALSE)</f>
        <v>110</v>
      </c>
      <c r="F10" s="241" t="s">
        <v>192</v>
      </c>
    </row>
    <row r="11" spans="1:13" ht="11.4" x14ac:dyDescent="0.2">
      <c r="A11" s="243" t="s">
        <v>70</v>
      </c>
      <c r="B11" s="243" t="s">
        <v>75</v>
      </c>
      <c r="C11" s="243">
        <f>VLOOKUP($A$10,$H$3:$K$7,MATCH(B11,$I$2:$K$2,0)+1,FALSE)</f>
        <v>130</v>
      </c>
      <c r="F11" s="242" t="s">
        <v>74</v>
      </c>
      <c r="I11" s="50" t="s">
        <v>246</v>
      </c>
    </row>
    <row r="12" spans="1:13" x14ac:dyDescent="0.2">
      <c r="A12" s="243" t="s">
        <v>71</v>
      </c>
      <c r="B12" s="243" t="s">
        <v>193</v>
      </c>
      <c r="C12" s="243">
        <f>VLOOKUP($A$10,$H$3:$K$7,MATCH(B12,$I$2:$K$2,0)+1,FALSE)</f>
        <v>111</v>
      </c>
      <c r="F12" s="242" t="s">
        <v>75</v>
      </c>
    </row>
    <row r="13" spans="1:13" x14ac:dyDescent="0.2">
      <c r="A13" s="243" t="s">
        <v>72</v>
      </c>
      <c r="B13" s="243" t="s">
        <v>74</v>
      </c>
      <c r="C13" s="243">
        <f>VLOOKUP($A$10,$H$3:$K$7,MATCH(B13,$I$2:$K$2,0)+1,FALSE)</f>
        <v>110</v>
      </c>
      <c r="F13" s="242" t="s">
        <v>193</v>
      </c>
    </row>
    <row r="14" spans="1:13" x14ac:dyDescent="0.2">
      <c r="A14" s="243" t="s">
        <v>73</v>
      </c>
      <c r="B14" s="243" t="s">
        <v>75</v>
      </c>
      <c r="C14" s="243">
        <f>VLOOKUP($A$10,$H$3:$K$7,MATCH(B14,$I$2:$K$2,0)+1,FALSE)</f>
        <v>130</v>
      </c>
    </row>
    <row r="15" spans="1:13" x14ac:dyDescent="0.2">
      <c r="A15" s="243"/>
      <c r="B15" s="243"/>
      <c r="C15" s="243"/>
      <c r="F15" s="244"/>
      <c r="G15" s="244"/>
    </row>
    <row r="16" spans="1:13" x14ac:dyDescent="0.2">
      <c r="F16" s="244"/>
      <c r="G16" s="244"/>
    </row>
    <row r="17" spans="6:9" ht="11.4" x14ac:dyDescent="0.2">
      <c r="F17" s="244"/>
      <c r="G17" s="244"/>
      <c r="H17" s="50"/>
    </row>
    <row r="18" spans="6:9" ht="12.6" x14ac:dyDescent="0.2">
      <c r="F18" s="247"/>
      <c r="G18" s="247"/>
      <c r="H18" s="247"/>
      <c r="I18" s="247"/>
    </row>
    <row r="19" spans="6:9" ht="12.6" x14ac:dyDescent="0.2">
      <c r="F19" s="247"/>
      <c r="G19" s="247"/>
      <c r="H19" s="247"/>
      <c r="I19" s="247"/>
    </row>
    <row r="20" spans="6:9" ht="12.6" x14ac:dyDescent="0.2">
      <c r="F20" s="247"/>
      <c r="G20" s="247"/>
      <c r="H20" s="247"/>
      <c r="I20" s="247"/>
    </row>
    <row r="21" spans="6:9" ht="12.6" x14ac:dyDescent="0.2">
      <c r="F21" s="247"/>
      <c r="G21" s="247"/>
      <c r="H21" s="247"/>
      <c r="I21" s="247"/>
    </row>
    <row r="22" spans="6:9" ht="12.6" x14ac:dyDescent="0.2">
      <c r="F22" s="247"/>
      <c r="G22" s="247"/>
      <c r="H22" s="247"/>
      <c r="I22" s="247"/>
    </row>
    <row r="23" spans="6:9" x14ac:dyDescent="0.2">
      <c r="F23" s="244"/>
      <c r="G23" s="244"/>
    </row>
    <row r="25" spans="6:9" x14ac:dyDescent="0.2">
      <c r="F25" s="244"/>
      <c r="G25" s="244"/>
    </row>
    <row r="26" spans="6:9" x14ac:dyDescent="0.2">
      <c r="F26" s="244"/>
      <c r="G26" s="244"/>
    </row>
    <row r="27" spans="6:9" x14ac:dyDescent="0.2">
      <c r="F27" s="244"/>
      <c r="G27" s="244"/>
    </row>
    <row r="28" spans="6:9" x14ac:dyDescent="0.2">
      <c r="F28" s="244"/>
      <c r="G28" s="244"/>
    </row>
    <row r="29" spans="6:9" x14ac:dyDescent="0.2">
      <c r="F29" s="244"/>
      <c r="G29" s="244"/>
    </row>
  </sheetData>
  <phoneticPr fontId="20" type="noConversion"/>
  <conditionalFormatting sqref="K3:K7">
    <cfRule type="expression" dxfId="2" priority="1" stopIfTrue="1">
      <formula>$B$3="Espagne"</formula>
    </cfRule>
  </conditionalFormatting>
  <conditionalFormatting sqref="J3:J7">
    <cfRule type="expression" dxfId="1" priority="2" stopIfTrue="1">
      <formula>$B$3="Italie"</formula>
    </cfRule>
  </conditionalFormatting>
  <conditionalFormatting sqref="H3:I7">
    <cfRule type="expression" dxfId="0" priority="3" stopIfTrue="1">
      <formula>$B$3="France"</formula>
    </cfRule>
  </conditionalFormatting>
  <dataValidations count="1">
    <dataValidation type="list" allowBlank="1" showInputMessage="1" showErrorMessage="1" sqref="B10:B15">
      <formula1>$F$11:$F$13</formula1>
    </dataValidation>
  </dataValidations>
  <hyperlinks>
    <hyperlink ref="I11" location="Obsah!A1" display="Obsah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O9"/>
  <sheetViews>
    <sheetView showGridLines="0" showZeros="0" workbookViewId="0">
      <selection activeCell="D2" sqref="D2"/>
    </sheetView>
  </sheetViews>
  <sheetFormatPr defaultColWidth="10" defaultRowHeight="11.4" x14ac:dyDescent="0.2"/>
  <cols>
    <col min="1" max="1" width="8.88671875" style="1" bestFit="1" customWidth="1"/>
    <col min="2" max="3" width="11.5546875" style="1" bestFit="1" customWidth="1"/>
    <col min="4" max="4" width="8" style="1" bestFit="1" customWidth="1"/>
    <col min="5" max="5" width="7.6640625" style="1" bestFit="1" customWidth="1"/>
    <col min="6" max="6" width="6" style="1" bestFit="1" customWidth="1"/>
    <col min="7" max="7" width="5.5546875" style="1" bestFit="1" customWidth="1"/>
    <col min="8" max="8" width="4.6640625" style="1" bestFit="1" customWidth="1"/>
    <col min="9" max="9" width="4.88671875" style="1" bestFit="1" customWidth="1"/>
    <col min="10" max="10" width="6.6640625" style="1" bestFit="1" customWidth="1"/>
    <col min="11" max="11" width="5.44140625" style="1" bestFit="1" customWidth="1"/>
    <col min="12" max="12" width="11.33203125" style="1" bestFit="1" customWidth="1"/>
    <col min="13" max="13" width="8.44140625" style="1" bestFit="1" customWidth="1"/>
    <col min="14" max="14" width="10.6640625" style="1" bestFit="1" customWidth="1"/>
    <col min="15" max="15" width="10.5546875" style="1" bestFit="1" customWidth="1"/>
    <col min="16" max="16384" width="10" style="1"/>
  </cols>
  <sheetData>
    <row r="1" spans="1:15" x14ac:dyDescent="0.2">
      <c r="A1" s="191" t="s">
        <v>35</v>
      </c>
      <c r="B1" s="191" t="s">
        <v>46</v>
      </c>
      <c r="C1" s="191" t="s">
        <v>47</v>
      </c>
      <c r="D1" s="191" t="s">
        <v>48</v>
      </c>
      <c r="E1" s="191" t="s">
        <v>49</v>
      </c>
      <c r="F1" s="191" t="s">
        <v>50</v>
      </c>
      <c r="G1" s="191" t="s">
        <v>51</v>
      </c>
      <c r="H1" s="191" t="s">
        <v>52</v>
      </c>
      <c r="I1" s="191" t="s">
        <v>53</v>
      </c>
      <c r="J1" s="191" t="s">
        <v>54</v>
      </c>
      <c r="K1" s="191" t="s">
        <v>55</v>
      </c>
      <c r="L1" s="191" t="s">
        <v>56</v>
      </c>
      <c r="M1" s="191" t="s">
        <v>57</v>
      </c>
      <c r="N1" s="191" t="s">
        <v>58</v>
      </c>
      <c r="O1" s="191" t="s">
        <v>59</v>
      </c>
    </row>
    <row r="2" spans="1:15" x14ac:dyDescent="0.2">
      <c r="A2" s="2">
        <v>900</v>
      </c>
      <c r="B2" s="189">
        <v>38078</v>
      </c>
      <c r="C2" s="189">
        <v>38139</v>
      </c>
      <c r="D2" s="190">
        <f t="shared" ref="D2:O5" si="0">IF(AND(COLUMN()-3&gt;=MONTH($B2),COLUMN()-3&lt;=MONTH($C2)),$A2/(MONTH($C2)-MONTH($B2)+1),0)</f>
        <v>0</v>
      </c>
      <c r="E2" s="190">
        <f t="shared" si="0"/>
        <v>0</v>
      </c>
      <c r="F2" s="190">
        <f t="shared" si="0"/>
        <v>0</v>
      </c>
      <c r="G2" s="190">
        <f t="shared" si="0"/>
        <v>300</v>
      </c>
      <c r="H2" s="190">
        <f t="shared" si="0"/>
        <v>300</v>
      </c>
      <c r="I2" s="190">
        <f t="shared" si="0"/>
        <v>300</v>
      </c>
      <c r="J2" s="190">
        <f t="shared" si="0"/>
        <v>0</v>
      </c>
      <c r="K2" s="190">
        <f t="shared" si="0"/>
        <v>0</v>
      </c>
      <c r="L2" s="190">
        <f t="shared" si="0"/>
        <v>0</v>
      </c>
      <c r="M2" s="190">
        <f t="shared" si="0"/>
        <v>0</v>
      </c>
      <c r="N2" s="190">
        <f t="shared" si="0"/>
        <v>0</v>
      </c>
      <c r="O2" s="190">
        <f t="shared" si="0"/>
        <v>0</v>
      </c>
    </row>
    <row r="3" spans="1:15" x14ac:dyDescent="0.2">
      <c r="A3" s="2">
        <v>3000</v>
      </c>
      <c r="B3" s="189">
        <v>38108</v>
      </c>
      <c r="C3" s="189">
        <v>38200</v>
      </c>
      <c r="D3" s="190">
        <f t="shared" si="0"/>
        <v>0</v>
      </c>
      <c r="E3" s="190">
        <f t="shared" si="0"/>
        <v>0</v>
      </c>
      <c r="F3" s="190">
        <f t="shared" si="0"/>
        <v>0</v>
      </c>
      <c r="G3" s="190">
        <f t="shared" si="0"/>
        <v>0</v>
      </c>
      <c r="H3" s="190">
        <f t="shared" si="0"/>
        <v>750</v>
      </c>
      <c r="I3" s="190">
        <f t="shared" si="0"/>
        <v>750</v>
      </c>
      <c r="J3" s="190">
        <f t="shared" si="0"/>
        <v>750</v>
      </c>
      <c r="K3" s="190">
        <f t="shared" si="0"/>
        <v>750</v>
      </c>
      <c r="L3" s="190">
        <f t="shared" si="0"/>
        <v>0</v>
      </c>
      <c r="M3" s="190">
        <f t="shared" si="0"/>
        <v>0</v>
      </c>
      <c r="N3" s="190">
        <f t="shared" si="0"/>
        <v>0</v>
      </c>
      <c r="O3" s="190">
        <f t="shared" si="0"/>
        <v>0</v>
      </c>
    </row>
    <row r="4" spans="1:15" x14ac:dyDescent="0.2">
      <c r="A4" s="2">
        <v>1002</v>
      </c>
      <c r="B4" s="189">
        <v>38078</v>
      </c>
      <c r="C4" s="189">
        <v>38139</v>
      </c>
      <c r="D4" s="190">
        <f t="shared" si="0"/>
        <v>0</v>
      </c>
      <c r="E4" s="190">
        <f t="shared" si="0"/>
        <v>0</v>
      </c>
      <c r="F4" s="190">
        <f t="shared" si="0"/>
        <v>0</v>
      </c>
      <c r="G4" s="190">
        <f t="shared" si="0"/>
        <v>334</v>
      </c>
      <c r="H4" s="190">
        <f t="shared" si="0"/>
        <v>334</v>
      </c>
      <c r="I4" s="190">
        <f t="shared" si="0"/>
        <v>334</v>
      </c>
      <c r="J4" s="190">
        <f t="shared" si="0"/>
        <v>0</v>
      </c>
      <c r="K4" s="190">
        <f t="shared" si="0"/>
        <v>0</v>
      </c>
      <c r="L4" s="190">
        <f t="shared" si="0"/>
        <v>0</v>
      </c>
      <c r="M4" s="190">
        <f t="shared" si="0"/>
        <v>0</v>
      </c>
      <c r="N4" s="190">
        <f t="shared" si="0"/>
        <v>0</v>
      </c>
      <c r="O4" s="190">
        <f t="shared" si="0"/>
        <v>0</v>
      </c>
    </row>
    <row r="5" spans="1:15" x14ac:dyDescent="0.2">
      <c r="A5" s="2">
        <v>3000</v>
      </c>
      <c r="B5" s="189">
        <v>38047</v>
      </c>
      <c r="C5" s="189">
        <v>38200</v>
      </c>
      <c r="D5" s="190">
        <f t="shared" si="0"/>
        <v>0</v>
      </c>
      <c r="E5" s="190">
        <f t="shared" si="0"/>
        <v>0</v>
      </c>
      <c r="F5" s="190">
        <f t="shared" si="0"/>
        <v>500</v>
      </c>
      <c r="G5" s="190">
        <f t="shared" si="0"/>
        <v>500</v>
      </c>
      <c r="H5" s="190">
        <f t="shared" si="0"/>
        <v>500</v>
      </c>
      <c r="I5" s="190">
        <f t="shared" si="0"/>
        <v>500</v>
      </c>
      <c r="J5" s="190">
        <f t="shared" si="0"/>
        <v>500</v>
      </c>
      <c r="K5" s="190">
        <f t="shared" si="0"/>
        <v>500</v>
      </c>
      <c r="L5" s="190">
        <f t="shared" si="0"/>
        <v>0</v>
      </c>
      <c r="M5" s="190">
        <f t="shared" si="0"/>
        <v>0</v>
      </c>
      <c r="N5" s="190">
        <f t="shared" si="0"/>
        <v>0</v>
      </c>
      <c r="O5" s="190">
        <f t="shared" si="0"/>
        <v>0</v>
      </c>
    </row>
    <row r="9" spans="1:15" x14ac:dyDescent="0.2">
      <c r="O9" s="50" t="s">
        <v>42</v>
      </c>
    </row>
  </sheetData>
  <phoneticPr fontId="0" type="noConversion"/>
  <hyperlinks>
    <hyperlink ref="O9" location="Accueil!A1" display="Accueil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49</vt:i4>
      </vt:variant>
    </vt:vector>
  </HeadingPairs>
  <TitlesOfParts>
    <vt:vector size="76" baseType="lpstr">
      <vt:lpstr>Obsah</vt:lpstr>
      <vt:lpstr>Svyhledat(1)</vt:lpstr>
      <vt:lpstr>Svyhledat_přibližně</vt:lpstr>
      <vt:lpstr>Svyhledat(2)</vt:lpstr>
      <vt:lpstr>Svyhledat(3)</vt:lpstr>
      <vt:lpstr>Pozvyhledat</vt:lpstr>
      <vt:lpstr>Index</vt:lpstr>
      <vt:lpstr>IndexPozvyhledat</vt:lpstr>
      <vt:lpstr>Tarif_Svyhledat</vt:lpstr>
      <vt:lpstr>Tarif_IndexPozvyhledat</vt:lpstr>
      <vt:lpstr>Tarif_SVYH_POZVYH</vt:lpstr>
      <vt:lpstr>Tarif_IndexPozvyhledat(2)</vt:lpstr>
      <vt:lpstr>TarifVyhledání</vt:lpstr>
      <vt:lpstr>INDEX_POZ_VíceSloupců</vt:lpstr>
      <vt:lpstr>Index_VíceSloupců_Matice</vt:lpstr>
      <vt:lpstr>TransformaceSloupcu</vt:lpstr>
      <vt:lpstr>SVYHLEDAT_komplexni_reseni</vt:lpstr>
      <vt:lpstr>SVYHLEDAT_TURBO</vt:lpstr>
      <vt:lpstr>POZVYHLEDAT_NeSoulad</vt:lpstr>
      <vt:lpstr>INDEX_RADEK</vt:lpstr>
      <vt:lpstr>SVYHLEDAT_POZVYHLEDAT_Oblast</vt:lpstr>
      <vt:lpstr>INDEX_POZVYHLEDAT_MAX</vt:lpstr>
      <vt:lpstr>INDEX_POZVYHLEDAT_MIN</vt:lpstr>
      <vt:lpstr>KŘÍŽOVÝ_VÝBĚR_INTERVAL</vt:lpstr>
      <vt:lpstr>SVYHLEDAT_NEPRIMYODKAZ_Zeme</vt:lpstr>
      <vt:lpstr>INDEX_POZVYHLEDAT_Zeme</vt:lpstr>
      <vt:lpstr>Répartition</vt:lpstr>
      <vt:lpstr>SVYHLEDAT_komplexni_reseni!Articles</vt:lpstr>
      <vt:lpstr>INDEX_POZ_VíceSloupců!BASE</vt:lpstr>
      <vt:lpstr>Index_VíceSloupců_Matice!base</vt:lpstr>
      <vt:lpstr>CA</vt:lpstr>
      <vt:lpstr>CENA</vt:lpstr>
      <vt:lpstr>'Tarif_IndexPozvyhledat(2)'!CodePrestation</vt:lpstr>
      <vt:lpstr>DATA1</vt:lpstr>
      <vt:lpstr>DELKA</vt:lpstr>
      <vt:lpstr>TarifVyhledání!depart2</vt:lpstr>
      <vt:lpstr>POZVYHLEDAT_NeSoulad!Extrakce</vt:lpstr>
      <vt:lpstr>JMENO</vt:lpstr>
      <vt:lpstr>jmeno2</vt:lpstr>
      <vt:lpstr>TarifVyhledání!kategorie</vt:lpstr>
      <vt:lpstr>KOD_OBLAST</vt:lpstr>
      <vt:lpstr>KOD_OBLAST2</vt:lpstr>
      <vt:lpstr>KOD_TARIF</vt:lpstr>
      <vt:lpstr>KOD_TARIF2</vt:lpstr>
      <vt:lpstr>POZVYHLEDAT_NeSoulad!Kriteria</vt:lpstr>
      <vt:lpstr>KVARTAL</vt:lpstr>
      <vt:lpstr>kvi</vt:lpstr>
      <vt:lpstr>INDEX_POZ_VíceSloupců!nom</vt:lpstr>
      <vt:lpstr>OBLAST</vt:lpstr>
      <vt:lpstr>INDEX_POZ_VíceSloupců!Oblast_tisku</vt:lpstr>
      <vt:lpstr>Index_VíceSloupců_Matice!Oblast_tisku</vt:lpstr>
      <vt:lpstr>'Svyhledat(2)'!Oblast_tisku</vt:lpstr>
      <vt:lpstr>INDEX_POZ_VíceSloupců!prénom</vt:lpstr>
      <vt:lpstr>PRIJMENI</vt:lpstr>
      <vt:lpstr>PRIJMENI_JMENO</vt:lpstr>
      <vt:lpstr>prijmeni2</vt:lpstr>
      <vt:lpstr>IndexPozvyhledat!prix</vt:lpstr>
      <vt:lpstr>Prix</vt:lpstr>
      <vt:lpstr>PRODUKT</vt:lpstr>
      <vt:lpstr>PRODUKTY</vt:lpstr>
      <vt:lpstr>TarifVyhledání!puissance2</vt:lpstr>
      <vt:lpstr>TarifVyhledání!sazba</vt:lpstr>
      <vt:lpstr>SIRKA</vt:lpstr>
      <vt:lpstr>TABULKA_HODNOT</vt:lpstr>
      <vt:lpstr>Tabulka_Produkty</vt:lpstr>
      <vt:lpstr>Tabulka_slevy</vt:lpstr>
      <vt:lpstr>TarifVyhledání!tarif</vt:lpstr>
      <vt:lpstr>TarifVyhledání!tarif2</vt:lpstr>
      <vt:lpstr>usine</vt:lpstr>
      <vt:lpstr>VYROBEK</vt:lpstr>
      <vt:lpstr>ZoneCZ</vt:lpstr>
      <vt:lpstr>INDEX_POZVYHLEDAT_Zeme!ZoneESP</vt:lpstr>
      <vt:lpstr>INDEX_POZVYHLEDAT_Zeme!ZoneFR</vt:lpstr>
      <vt:lpstr>ZoneFR</vt:lpstr>
      <vt:lpstr>INDEX_POZVYHLEDAT_Zeme!ZoneIT</vt:lpstr>
      <vt:lpstr>ZoneIT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Číhař</dc:creator>
  <cp:lastModifiedBy>Jiří Číhař</cp:lastModifiedBy>
  <dcterms:created xsi:type="dcterms:W3CDTF">2004-11-15T12:36:35Z</dcterms:created>
  <dcterms:modified xsi:type="dcterms:W3CDTF">2021-02-21T09:53:43Z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-195758281</vt:i4>
  </property>
  <property fmtid="{D5CDD505-2E9C-101B-9397-08002B2CF9AE}" pid="3" name="_EmailSubject">
    <vt:lpwstr>Annule et Remplace envoi du 25 décembre 2005</vt:lpwstr>
  </property>
  <property fmtid="{D5CDD505-2E9C-101B-9397-08002B2CF9AE}" pid="4" name="_AuthorEmail">
    <vt:lpwstr>jboisgontier@cegos.fr</vt:lpwstr>
  </property>
  <property fmtid="{D5CDD505-2E9C-101B-9397-08002B2CF9AE}" pid="5" name="_AuthorEmailDisplayName">
    <vt:lpwstr>BOISGONTIER.Jacques</vt:lpwstr>
  </property>
  <property fmtid="{D5CDD505-2E9C-101B-9397-08002B2CF9AE}" pid="6" name="_ReviewingToolsShownOnce">
    <vt:lpwstr/>
  </property>
</Properties>
</file>